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430" windowHeight="5505" activeTab="0"/>
  </bookViews>
  <sheets>
    <sheet name="introduccion" sheetId="1" r:id="rId1"/>
    <sheet name="con metodo PROMEDIO" sheetId="2" r:id="rId2"/>
    <sheet name="con metodo PEPS" sheetId="3" r:id="rId3"/>
    <sheet name="con metodo UEPS" sheetId="4" r:id="rId4"/>
    <sheet name="resumen comparativo" sheetId="5" r:id="rId5"/>
  </sheets>
  <definedNames>
    <definedName name="_xlnm.Print_Area" localSheetId="2">'con metodo PEPS'!$A$1:$O$32</definedName>
    <definedName name="_xlnm.Print_Area" localSheetId="1">'con metodo PROMEDIO'!$A$1:$O$33</definedName>
    <definedName name="_xlnm.Print_Area" localSheetId="3">'con metodo UEPS'!$A$1:$O$33</definedName>
  </definedNames>
  <calcPr fullCalcOnLoad="1"/>
</workbook>
</file>

<file path=xl/comments2.xml><?xml version="1.0" encoding="utf-8"?>
<comments xmlns="http://schemas.openxmlformats.org/spreadsheetml/2006/main">
  <authors>
    <author>Diego Guevara</author>
  </authors>
  <commentList>
    <comment ref="F18" authorId="0">
      <text>
        <r>
          <rPr>
            <b/>
            <sz val="8"/>
            <rFont val="Tahoma"/>
            <family val="2"/>
          </rPr>
          <t>Comentarios de actualicese.com:</t>
        </r>
        <r>
          <rPr>
            <sz val="8"/>
            <rFont val="Tahoma"/>
            <family val="2"/>
          </rPr>
          <t xml:space="preserve">
En vista de que se está ante el metodo del promedio ponderado, se debe enteder que este costo de las mercancias vendidas involucra tanto el costo de las mercancias al inicio del mes como el costo de las compradas durante el mes. Es decir, que todo el "inventario disponible" se dividió entre el total de unidades disponibles y  así se obtuvo el costo promedio de las unidades vendidas. Así las cosas, no es posible determinar en forma directa cuanto de este costo de mercancia vendida está formado con el costo del inventario al inicio del mes y cuanto está formado con el costo de las compras del mes</t>
        </r>
      </text>
    </comment>
    <comment ref="N18" authorId="0">
      <text>
        <r>
          <rPr>
            <b/>
            <sz val="8"/>
            <rFont val="Tahoma"/>
            <family val="2"/>
          </rPr>
          <t>Comentarios de actualicese.com:</t>
        </r>
        <r>
          <rPr>
            <sz val="8"/>
            <rFont val="Tahoma"/>
            <family val="2"/>
          </rPr>
          <t xml:space="preserve">
En vista de que para las unidades vendidas durante el mes, lo que se hizo fue "promediar" los costos  del inventario al inicio del mes mas los costos de las compras del mes, es entonces razonable decir que los ajustes por inflacion acumulados (que aunque en la practica le pertenecen solamente al inventario que venía al inicio del mes) se debe entrar a "promediar" o "prorratear" segun el costo que representan las mercancias vendidas frente al "inventario disponible" (inventairo incial mas compras del mes)</t>
        </r>
      </text>
    </comment>
  </commentList>
</comments>
</file>

<file path=xl/comments3.xml><?xml version="1.0" encoding="utf-8"?>
<comments xmlns="http://schemas.openxmlformats.org/spreadsheetml/2006/main">
  <authors>
    <author>Diego Guevara</author>
  </authors>
  <commentList>
    <comment ref="F18" authorId="0">
      <text>
        <r>
          <rPr>
            <b/>
            <sz val="8"/>
            <rFont val="Tahoma"/>
            <family val="2"/>
          </rPr>
          <t>Comentario de actualicese.com:</t>
        </r>
        <r>
          <rPr>
            <sz val="8"/>
            <rFont val="Tahoma"/>
            <family val="0"/>
          </rPr>
          <t xml:space="preserve">
En este primer mes, si el costo de las mercancias vendidas es de 5.000.000.000 es claro que las que terminaron siendo vendidas fueron TODAS las unidades del inventario al inicio del mes (3.707.328.360) pues el metodo indica que las primeras (las del inventario al inicio del mes) son las primeras que deben "salir"</t>
        </r>
      </text>
    </comment>
    <comment ref="N18" authorId="0">
      <text>
        <r>
          <rPr>
            <b/>
            <sz val="8"/>
            <rFont val="Tahoma"/>
            <family val="2"/>
          </rPr>
          <t>Comentario de actualicese.com:</t>
        </r>
        <r>
          <rPr>
            <sz val="8"/>
            <rFont val="Tahoma"/>
            <family val="2"/>
          </rPr>
          <t xml:space="preserve">
Como el costo de la mercancia vendida en este mes es superior al valor de las mercancias en el inventario incial, se entiende que TODO EL inventario inicial fue vendido, y como los ajustes por inflacion acumulados hasta la columna M se entiende que le pertenecen justamente a ese inventario al inicio del mes, es por eso que todo ese ajuste por inflacion acumulado se tendría que ir hacia el costo de ventas</t>
        </r>
      </text>
    </comment>
  </commentList>
</comments>
</file>

<file path=xl/comments4.xml><?xml version="1.0" encoding="utf-8"?>
<comments xmlns="http://schemas.openxmlformats.org/spreadsheetml/2006/main">
  <authors>
    <author>Diego Guevara</author>
  </authors>
  <commentList>
    <comment ref="F18" authorId="0">
      <text>
        <r>
          <rPr>
            <b/>
            <sz val="8"/>
            <rFont val="Tahoma"/>
            <family val="2"/>
          </rPr>
          <t>Comentarios de actualicese.com:</t>
        </r>
        <r>
          <rPr>
            <sz val="8"/>
            <rFont val="Tahoma"/>
            <family val="2"/>
          </rPr>
          <t xml:space="preserve">
En este mes, si el costo de las mercancias vendidas fue solo de 400.000.000, se entiende que por razon del metodo utilizado, esos 400.000.000 son de las compras hechas durante el mes (2.864.704.707)</t>
        </r>
      </text>
    </comment>
    <comment ref="N18" authorId="0">
      <text>
        <r>
          <rPr>
            <b/>
            <sz val="8"/>
            <rFont val="Tahoma"/>
            <family val="2"/>
          </rPr>
          <t>Comentarios de actualicese.com:</t>
        </r>
        <r>
          <rPr>
            <sz val="8"/>
            <rFont val="Tahoma"/>
            <family val="2"/>
          </rPr>
          <t xml:space="preserve">
Si las mercancias vendidas fueron de las mismas compradas durante el mes, es claro que tales mercancias no alcanzaron a acumular ajustes por inflacion, y por tanto no se debe trasladar ningun valor por concepto de ajuste por inflación hacia el costo de ventas</t>
        </r>
      </text>
    </comment>
  </commentList>
</comments>
</file>

<file path=xl/sharedStrings.xml><?xml version="1.0" encoding="utf-8"?>
<sst xmlns="http://schemas.openxmlformats.org/spreadsheetml/2006/main" count="239" uniqueCount="97">
  <si>
    <t xml:space="preserve"> </t>
  </si>
  <si>
    <t>Enero</t>
  </si>
  <si>
    <t>Febrero</t>
  </si>
  <si>
    <t>Marzo</t>
  </si>
  <si>
    <t>Abril</t>
  </si>
  <si>
    <t>Mayo</t>
  </si>
  <si>
    <t>Junio</t>
  </si>
  <si>
    <t>Julio</t>
  </si>
  <si>
    <t>Agosto</t>
  </si>
  <si>
    <t>Septiembre</t>
  </si>
  <si>
    <t>Octubre</t>
  </si>
  <si>
    <t>Noviembre</t>
  </si>
  <si>
    <t>Diciembre</t>
  </si>
  <si>
    <t>AJUSTES POR INFLACION</t>
  </si>
  <si>
    <t>MESES</t>
  </si>
  <si>
    <t>Preparado por : Comité de Investigación Contable y Tributaria</t>
  </si>
  <si>
    <t>www.actualicese.com</t>
  </si>
  <si>
    <t>Empresas Comerciales</t>
  </si>
  <si>
    <t>COSTO HISTORICO</t>
  </si>
  <si>
    <r>
      <t xml:space="preserve">Ajuste mensual de los inventarios cuando se utiliza el </t>
    </r>
    <r>
      <rPr>
        <b/>
        <sz val="16"/>
        <color indexed="10"/>
        <rFont val="Verdana"/>
        <family val="2"/>
      </rPr>
      <t>Sistema</t>
    </r>
    <r>
      <rPr>
        <b/>
        <sz val="16"/>
        <color indexed="8"/>
        <rFont val="Verdana"/>
        <family val="2"/>
      </rPr>
      <t xml:space="preserve"> de inventario  Permanente</t>
    </r>
  </si>
  <si>
    <t>Saldo al</t>
  </si>
  <si>
    <t>inicio del</t>
  </si>
  <si>
    <t>mes</t>
  </si>
  <si>
    <t xml:space="preserve">Costo </t>
  </si>
  <si>
    <t>compras</t>
  </si>
  <si>
    <t>netas del mes</t>
  </si>
  <si>
    <t>Subtotal</t>
  </si>
  <si>
    <t>inventario</t>
  </si>
  <si>
    <t>disponible</t>
  </si>
  <si>
    <t>Costo de las</t>
  </si>
  <si>
    <t>mercancias</t>
  </si>
  <si>
    <t>vendidas</t>
  </si>
  <si>
    <t>recibidas por</t>
  </si>
  <si>
    <t>devolu.en ventas</t>
  </si>
  <si>
    <t>Valores</t>
  </si>
  <si>
    <t>Saldo incial</t>
  </si>
  <si>
    <t>% respecto</t>
  </si>
  <si>
    <t>Ajustes por</t>
  </si>
  <si>
    <t xml:space="preserve">inflacion </t>
  </si>
  <si>
    <t>del mes</t>
  </si>
  <si>
    <t>de las mercancias</t>
  </si>
  <si>
    <t>Saldo</t>
  </si>
  <si>
    <t>final</t>
  </si>
  <si>
    <t>Ajustes de</t>
  </si>
  <si>
    <t>las mercancias</t>
  </si>
  <si>
    <t>Paag</t>
  </si>
  <si>
    <t>aplicable</t>
  </si>
  <si>
    <t>en el mes</t>
  </si>
  <si>
    <t>ajustes por</t>
  </si>
  <si>
    <t>inflacion</t>
  </si>
  <si>
    <t>acumulados</t>
  </si>
  <si>
    <t>Ajustes</t>
  </si>
  <si>
    <t>que se trasladan</t>
  </si>
  <si>
    <t>hacia el</t>
  </si>
  <si>
    <t>costo de ventas</t>
  </si>
  <si>
    <t>de ajustes</t>
  </si>
  <si>
    <t>por inflacion</t>
  </si>
  <si>
    <t xml:space="preserve">Saldo </t>
  </si>
  <si>
    <t>al final del mes</t>
  </si>
  <si>
    <r>
      <t>al inven.</t>
    </r>
    <r>
      <rPr>
        <b/>
        <sz val="8"/>
        <color indexed="10"/>
        <rFont val="Verdana"/>
        <family val="2"/>
      </rPr>
      <t>disponible</t>
    </r>
  </si>
  <si>
    <r>
      <t xml:space="preserve">al inven </t>
    </r>
    <r>
      <rPr>
        <b/>
        <sz val="8"/>
        <color indexed="10"/>
        <rFont val="Verdana"/>
        <family val="2"/>
      </rPr>
      <t>incial</t>
    </r>
  </si>
  <si>
    <r>
      <t xml:space="preserve">a las </t>
    </r>
    <r>
      <rPr>
        <b/>
        <sz val="8"/>
        <color indexed="10"/>
        <rFont val="Verdana"/>
        <family val="2"/>
      </rPr>
      <t>compras del mes</t>
    </r>
  </si>
  <si>
    <t>Totales</t>
  </si>
  <si>
    <t>Promedio</t>
  </si>
  <si>
    <t>Con el Método</t>
  </si>
  <si>
    <t>Ponderado</t>
  </si>
  <si>
    <t>PEPS</t>
  </si>
  <si>
    <t>Resumen de los efectos que se originan al cambiar de "Metodo de Valuación"</t>
  </si>
  <si>
    <t>Detalle</t>
  </si>
  <si>
    <t>UEPS</t>
  </si>
  <si>
    <t>1. El ajuste por inflación del año, que iría por el "credito" de la cuenta</t>
  </si>
  <si>
    <t>2. El valor de los ajustes por inflacion acumulados en el inventario, que</t>
  </si>
  <si>
    <t>se descargarían contra el "costo de ventas" durante el año para aumentar</t>
  </si>
  <si>
    <t>corrección monetaria aumentadola, sería :</t>
  </si>
  <si>
    <t xml:space="preserve">dicho costo de ventas y neutralizar así el efecto de la cuenta corrección </t>
  </si>
  <si>
    <t>monetaria, sería:</t>
  </si>
  <si>
    <t>3. El inventario al final del año sería :(recuerdese que si queda un mayor</t>
  </si>
  <si>
    <t>inventario final, entonces se eleva tambien el patrimonio liquido, y ese</t>
  </si>
  <si>
    <t>Efecto neto en el Estado de Resultados del año</t>
  </si>
  <si>
    <t>(si da positivo, indica que se está aumentando la utilidad final del ejercicio)</t>
  </si>
  <si>
    <t>patrimonio liquido es base para la renta presuntiva del año siguiente…)</t>
  </si>
  <si>
    <t>A continuación se esbosa lo que serían los calculos globales mensuales de los ajustes por inflacion a unos inventarios, así</t>
  </si>
  <si>
    <t>como la distribución que de tales ajustes se haría hacia el costo de ventas cuando las mercancias son vendidas, pero llamando</t>
  </si>
  <si>
    <t xml:space="preserve">la atención a los cambios que se producirían en dichos calculos si el mismo inventario con su movimiento durante el año llega </t>
  </si>
  <si>
    <t>a ser valuado con Metodos diferentes</t>
  </si>
  <si>
    <r>
      <t xml:space="preserve">y el </t>
    </r>
    <r>
      <rPr>
        <b/>
        <sz val="16"/>
        <color indexed="10"/>
        <rFont val="Verdana"/>
        <family val="2"/>
      </rPr>
      <t>Metodo</t>
    </r>
    <r>
      <rPr>
        <b/>
        <sz val="16"/>
        <color indexed="8"/>
        <rFont val="Verdana"/>
        <family val="2"/>
      </rPr>
      <t>: Promedio Ponderado</t>
    </r>
  </si>
  <si>
    <r>
      <t xml:space="preserve">y el </t>
    </r>
    <r>
      <rPr>
        <b/>
        <sz val="16"/>
        <color indexed="10"/>
        <rFont val="Verdana"/>
        <family val="2"/>
      </rPr>
      <t>Metodo</t>
    </r>
    <r>
      <rPr>
        <b/>
        <sz val="16"/>
        <color indexed="8"/>
        <rFont val="Verdana"/>
        <family val="2"/>
      </rPr>
      <t>: PEPS: Primeras en Entrar, Primeras en Salir</t>
    </r>
  </si>
  <si>
    <r>
      <t xml:space="preserve">y el </t>
    </r>
    <r>
      <rPr>
        <b/>
        <sz val="16"/>
        <color indexed="10"/>
        <rFont val="Verdana"/>
        <family val="2"/>
      </rPr>
      <t>Método</t>
    </r>
    <r>
      <rPr>
        <b/>
        <sz val="16"/>
        <color indexed="8"/>
        <rFont val="Verdana"/>
        <family val="2"/>
      </rPr>
      <t>: UEPS: Ultimas en Entrar, Primeras en Salir</t>
    </r>
  </si>
  <si>
    <t>(si da negativo, indica que se está rebajando la utilidad final del ejercicio;)</t>
  </si>
  <si>
    <t>Haz click aquí para ver el ejemplo con PEPS</t>
  </si>
  <si>
    <t>Haz click aquí para ver un ejemplo con UEPS</t>
  </si>
  <si>
    <t>Haz click aquí para ver un ejemplo con el método Promedio</t>
  </si>
  <si>
    <t>Volver al resumen comparativo</t>
  </si>
  <si>
    <t>INVENTARIO DE ABARROTES AÑO 2005</t>
  </si>
  <si>
    <t>Introducción</t>
  </si>
  <si>
    <t>Haz click aquí para ver un ejemplo con el método PEPS</t>
  </si>
  <si>
    <t>Haz click aquí para ver un ejemplo con el método UEPS</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</si>
</sst>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C$&quot;#,##0_);\(&quot;C$&quot;#,##0\)"/>
    <numFmt numFmtId="173" formatCode="&quot;C$&quot;#,##0_);[Red]\(&quot;C$&quot;#,##0\)"/>
    <numFmt numFmtId="174" formatCode="&quot;C$&quot;#,##0.00_);\(&quot;C$&quot;#,##0.00\)"/>
    <numFmt numFmtId="175" formatCode="&quot;C$&quot;#,##0.00_);[Red]\(&quot;C$&quot;#,##0.00\)"/>
    <numFmt numFmtId="176" formatCode="_(&quot;C$&quot;* #,##0_);_(&quot;C$&quot;* \(#,##0\);_(&quot;C$&quot;* &quot;-&quot;_);_(@_)"/>
    <numFmt numFmtId="177" formatCode="_(&quot;C$&quot;* #,##0.00_);_(&quot;C$&quot;* \(#,##0.00\);_(&quot;C$&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
    <numFmt numFmtId="187" formatCode="0.0%"/>
    <numFmt numFmtId="188" formatCode="#,##0.0"/>
    <numFmt numFmtId="189" formatCode="#,##0.000"/>
    <numFmt numFmtId="190" formatCode="_-* #,##0.0_-;\-* #,##0.0_-;_-* &quot;-&quot;??_-;_-@_-"/>
    <numFmt numFmtId="191" formatCode="_-* #,##0_-;\-* #,##0_-;_-* &quot;-&quot;??_-;_-@_-"/>
    <numFmt numFmtId="192" formatCode="0.000%"/>
    <numFmt numFmtId="193" formatCode="0.0000%"/>
    <numFmt numFmtId="194" formatCode="0.00000%"/>
    <numFmt numFmtId="195" formatCode="0.000000%"/>
    <numFmt numFmtId="196" formatCode="0.0000000%"/>
    <numFmt numFmtId="197" formatCode="#,##0;[Red]\(#,##0\)"/>
  </numFmts>
  <fonts count="31">
    <font>
      <sz val="10"/>
      <name val="Courier"/>
      <family val="0"/>
    </font>
    <font>
      <b/>
      <sz val="10"/>
      <name val="Courier"/>
      <family val="0"/>
    </font>
    <font>
      <i/>
      <sz val="10"/>
      <name val="Courier"/>
      <family val="0"/>
    </font>
    <font>
      <b/>
      <i/>
      <sz val="10"/>
      <name val="Courier"/>
      <family val="0"/>
    </font>
    <font>
      <sz val="8"/>
      <name val="Verdana"/>
      <family val="2"/>
    </font>
    <font>
      <b/>
      <sz val="8"/>
      <color indexed="8"/>
      <name val="Verdana"/>
      <family val="2"/>
    </font>
    <font>
      <sz val="8"/>
      <color indexed="8"/>
      <name val="Verdana"/>
      <family val="2"/>
    </font>
    <font>
      <sz val="10"/>
      <color indexed="8"/>
      <name val="Courier"/>
      <family val="0"/>
    </font>
    <font>
      <u val="single"/>
      <sz val="10"/>
      <color indexed="12"/>
      <name val="Courier"/>
      <family val="0"/>
    </font>
    <font>
      <u val="single"/>
      <sz val="10"/>
      <color indexed="36"/>
      <name val="Courier"/>
      <family val="0"/>
    </font>
    <font>
      <u val="single"/>
      <sz val="9"/>
      <color indexed="12"/>
      <name val="Verdana"/>
      <family val="2"/>
    </font>
    <font>
      <b/>
      <sz val="16"/>
      <color indexed="8"/>
      <name val="Verdana"/>
      <family val="2"/>
    </font>
    <font>
      <b/>
      <sz val="14"/>
      <color indexed="8"/>
      <name val="Verdana"/>
      <family val="2"/>
    </font>
    <font>
      <b/>
      <sz val="11"/>
      <color indexed="8"/>
      <name val="Verdana"/>
      <family val="2"/>
    </font>
    <font>
      <sz val="10"/>
      <color indexed="9"/>
      <name val="Courier"/>
      <family val="0"/>
    </font>
    <font>
      <sz val="8"/>
      <color indexed="9"/>
      <name val="Verdana"/>
      <family val="2"/>
    </font>
    <font>
      <b/>
      <sz val="8"/>
      <color indexed="9"/>
      <name val="Verdana"/>
      <family val="2"/>
    </font>
    <font>
      <b/>
      <sz val="16"/>
      <color indexed="10"/>
      <name val="Verdana"/>
      <family val="2"/>
    </font>
    <font>
      <sz val="8"/>
      <name val="Tahoma"/>
      <family val="0"/>
    </font>
    <font>
      <sz val="8"/>
      <name val="Courier"/>
      <family val="0"/>
    </font>
    <font>
      <b/>
      <sz val="8"/>
      <color indexed="10"/>
      <name val="Verdana"/>
      <family val="2"/>
    </font>
    <font>
      <sz val="10"/>
      <name val="Verdana"/>
      <family val="2"/>
    </font>
    <font>
      <b/>
      <sz val="16"/>
      <name val="Verdana"/>
      <family val="2"/>
    </font>
    <font>
      <b/>
      <sz val="10"/>
      <name val="Verdana"/>
      <family val="2"/>
    </font>
    <font>
      <sz val="10"/>
      <color indexed="8"/>
      <name val="Verdana"/>
      <family val="2"/>
    </font>
    <font>
      <u val="single"/>
      <sz val="10"/>
      <color indexed="12"/>
      <name val="Verdana"/>
      <family val="2"/>
    </font>
    <font>
      <b/>
      <sz val="8"/>
      <name val="Tahoma"/>
      <family val="2"/>
    </font>
    <font>
      <u val="single"/>
      <sz val="14"/>
      <color indexed="12"/>
      <name val="Verdana"/>
      <family val="2"/>
    </font>
    <font>
      <sz val="14"/>
      <color indexed="8"/>
      <name val="Verdana"/>
      <family val="2"/>
    </font>
    <font>
      <sz val="14"/>
      <color indexed="8"/>
      <name val="Courier"/>
      <family val="0"/>
    </font>
    <font>
      <b/>
      <sz val="8"/>
      <name val="Courier"/>
      <family val="2"/>
    </font>
  </fonts>
  <fills count="2">
    <fill>
      <patternFill/>
    </fill>
    <fill>
      <patternFill patternType="gray125"/>
    </fill>
  </fills>
  <borders count="55">
    <border>
      <left/>
      <right/>
      <top/>
      <bottom/>
      <diagonal/>
    </border>
    <border>
      <left style="hair"/>
      <right style="hair"/>
      <top style="medium"/>
      <bottom style="hair"/>
    </border>
    <border>
      <left style="hair"/>
      <right style="hair"/>
      <top style="hair"/>
      <bottom style="hair"/>
    </border>
    <border>
      <left style="hair"/>
      <right style="hair"/>
      <top style="hair"/>
      <bottom style="medium">
        <color indexed="10"/>
      </bottom>
    </border>
    <border>
      <left style="hair"/>
      <right style="hair"/>
      <top style="hair"/>
      <bottom>
        <color indexed="63"/>
      </bottom>
    </border>
    <border>
      <left>
        <color indexed="63"/>
      </left>
      <right>
        <color indexed="63"/>
      </right>
      <top>
        <color indexed="63"/>
      </top>
      <bottom style="medium"/>
    </border>
    <border>
      <left style="hair"/>
      <right>
        <color indexed="63"/>
      </right>
      <top style="thin"/>
      <bottom>
        <color indexed="63"/>
      </bottom>
    </border>
    <border>
      <left style="medium">
        <color indexed="10"/>
      </left>
      <right style="hair"/>
      <top>
        <color indexed="63"/>
      </top>
      <bottom>
        <color indexed="63"/>
      </bottom>
    </border>
    <border>
      <left style="hair"/>
      <right style="hair"/>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color indexed="63"/>
      </bottom>
    </border>
    <border>
      <left style="hair"/>
      <right style="hair"/>
      <top style="medium"/>
      <bottom>
        <color indexed="63"/>
      </bottom>
    </border>
    <border>
      <left>
        <color indexed="63"/>
      </left>
      <right style="hair"/>
      <top>
        <color indexed="63"/>
      </top>
      <bottom>
        <color indexed="63"/>
      </bottom>
    </border>
    <border>
      <left style="hair"/>
      <right style="medium">
        <color indexed="12"/>
      </right>
      <top>
        <color indexed="63"/>
      </top>
      <bottom>
        <color indexed="63"/>
      </bottom>
    </border>
    <border>
      <left style="hair"/>
      <right>
        <color indexed="63"/>
      </right>
      <top>
        <color indexed="63"/>
      </top>
      <bottom>
        <color indexed="63"/>
      </bottom>
    </border>
    <border>
      <left style="medium"/>
      <right style="medium"/>
      <top style="medium"/>
      <bottom>
        <color indexed="63"/>
      </bottom>
    </border>
    <border>
      <left style="hair"/>
      <right>
        <color indexed="63"/>
      </right>
      <top>
        <color indexed="63"/>
      </top>
      <bottom style="medium"/>
    </border>
    <border>
      <left style="medium">
        <color indexed="10"/>
      </left>
      <right style="hair"/>
      <top>
        <color indexed="63"/>
      </top>
      <bottom style="medium"/>
    </border>
    <border>
      <left style="hair"/>
      <right style="hair"/>
      <top>
        <color indexed="63"/>
      </top>
      <bottom style="medium"/>
    </border>
    <border>
      <left style="medium"/>
      <right style="medium"/>
      <top>
        <color indexed="63"/>
      </top>
      <bottom style="medium"/>
    </border>
    <border>
      <left>
        <color indexed="63"/>
      </left>
      <right style="medium">
        <color indexed="10"/>
      </right>
      <top>
        <color indexed="63"/>
      </top>
      <bottom style="medium"/>
    </border>
    <border>
      <left style="medium">
        <color indexed="10"/>
      </left>
      <right>
        <color indexed="63"/>
      </right>
      <top>
        <color indexed="63"/>
      </top>
      <bottom style="medium"/>
    </border>
    <border>
      <left>
        <color indexed="63"/>
      </left>
      <right style="hair"/>
      <top>
        <color indexed="63"/>
      </top>
      <bottom style="medium"/>
    </border>
    <border>
      <left style="hair"/>
      <right style="medium">
        <color indexed="12"/>
      </right>
      <top>
        <color indexed="63"/>
      </top>
      <bottom style="medium"/>
    </border>
    <border>
      <left style="hair"/>
      <right>
        <color indexed="63"/>
      </right>
      <top style="medium"/>
      <bottom style="hair"/>
    </border>
    <border>
      <left style="medium">
        <color indexed="10"/>
      </left>
      <right style="hair"/>
      <top style="medium"/>
      <bottom style="hair"/>
    </border>
    <border>
      <left style="hair"/>
      <right style="medium">
        <color indexed="10"/>
      </right>
      <top style="medium"/>
      <bottom style="hair"/>
    </border>
    <border>
      <left style="medium">
        <color indexed="10"/>
      </left>
      <right>
        <color indexed="63"/>
      </right>
      <top style="medium"/>
      <bottom style="hair"/>
    </border>
    <border>
      <left style="hair"/>
      <right style="medium">
        <color indexed="12"/>
      </right>
      <top style="medium"/>
      <bottom style="hair"/>
    </border>
    <border>
      <left style="hair"/>
      <right>
        <color indexed="63"/>
      </right>
      <top style="hair"/>
      <bottom style="hair"/>
    </border>
    <border>
      <left style="medium">
        <color indexed="10"/>
      </left>
      <right style="hair"/>
      <top style="hair"/>
      <bottom style="hair"/>
    </border>
    <border>
      <left style="hair"/>
      <right style="medium">
        <color indexed="10"/>
      </right>
      <top style="hair"/>
      <bottom style="hair"/>
    </border>
    <border>
      <left>
        <color indexed="63"/>
      </left>
      <right style="hair"/>
      <top style="hair"/>
      <bottom style="hair"/>
    </border>
    <border>
      <left style="hair"/>
      <right style="medium">
        <color indexed="12"/>
      </right>
      <top style="hair"/>
      <bottom style="hair"/>
    </border>
    <border>
      <left style="medium">
        <color indexed="10"/>
      </left>
      <right style="hair"/>
      <top style="hair"/>
      <bottom style="medium">
        <color indexed="10"/>
      </bottom>
    </border>
    <border>
      <left style="hair"/>
      <right>
        <color indexed="63"/>
      </right>
      <top style="hair"/>
      <bottom>
        <color indexed="63"/>
      </bottom>
    </border>
    <border>
      <left style="hair"/>
      <right style="medium">
        <color indexed="10"/>
      </right>
      <top style="hair"/>
      <bottom>
        <color indexed="63"/>
      </bottom>
    </border>
    <border>
      <left style="medium">
        <color indexed="10"/>
      </left>
      <right style="hair"/>
      <top style="hair"/>
      <bottom>
        <color indexed="63"/>
      </bottom>
    </border>
    <border>
      <left>
        <color indexed="63"/>
      </left>
      <right style="hair"/>
      <top style="hair"/>
      <bottom>
        <color indexed="63"/>
      </bottom>
    </border>
    <border>
      <left style="hair"/>
      <right style="medium">
        <color indexed="12"/>
      </right>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color indexed="12"/>
      </top>
      <bottom style="medium"/>
    </border>
    <border>
      <left>
        <color indexed="63"/>
      </left>
      <right>
        <color indexed="63"/>
      </right>
      <top style="medium">
        <color indexed="12"/>
      </top>
      <bottom>
        <color indexed="63"/>
      </bottom>
    </border>
    <border>
      <left>
        <color indexed="63"/>
      </left>
      <right>
        <color indexed="63"/>
      </right>
      <top style="medium">
        <color indexed="12"/>
      </top>
      <bottom style="medium"/>
    </border>
    <border>
      <left>
        <color indexed="63"/>
      </left>
      <right style="medium">
        <color indexed="12"/>
      </right>
      <top style="medium">
        <color indexed="12"/>
      </top>
      <bottom style="medium"/>
    </border>
    <border>
      <left style="medium">
        <color indexed="10"/>
      </left>
      <right>
        <color indexed="63"/>
      </right>
      <top style="medium">
        <color indexed="10"/>
      </top>
      <bottom style="medium"/>
    </border>
    <border>
      <left>
        <color indexed="63"/>
      </left>
      <right>
        <color indexed="63"/>
      </right>
      <top style="medium">
        <color indexed="10"/>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6" fillId="0" borderId="1" xfId="0" applyFont="1" applyFill="1" applyBorder="1" applyAlignment="1">
      <alignment/>
    </xf>
    <xf numFmtId="191" fontId="6" fillId="0" borderId="2" xfId="17" applyNumberFormat="1" applyFont="1" applyFill="1" applyBorder="1" applyAlignment="1">
      <alignment/>
    </xf>
    <xf numFmtId="191" fontId="6" fillId="0" borderId="3" xfId="17" applyNumberFormat="1" applyFont="1" applyFill="1" applyBorder="1" applyAlignment="1">
      <alignment/>
    </xf>
    <xf numFmtId="191" fontId="6" fillId="0" borderId="4" xfId="17" applyNumberFormat="1" applyFont="1" applyFill="1" applyBorder="1" applyAlignment="1">
      <alignment/>
    </xf>
    <xf numFmtId="0" fontId="21" fillId="0" borderId="0" xfId="0" applyFont="1" applyAlignment="1">
      <alignment/>
    </xf>
    <xf numFmtId="0" fontId="22" fillId="0" borderId="0" xfId="0" applyFont="1" applyAlignment="1">
      <alignment/>
    </xf>
    <xf numFmtId="197" fontId="21" fillId="0" borderId="0" xfId="0" applyNumberFormat="1" applyFont="1" applyAlignment="1">
      <alignment/>
    </xf>
    <xf numFmtId="197" fontId="21" fillId="0" borderId="5" xfId="0" applyNumberFormat="1" applyFont="1" applyBorder="1" applyAlignment="1">
      <alignment/>
    </xf>
    <xf numFmtId="0" fontId="23" fillId="0" borderId="0" xfId="0" applyFont="1" applyAlignment="1">
      <alignment horizontal="center"/>
    </xf>
    <xf numFmtId="0" fontId="21" fillId="0" borderId="0" xfId="0" applyFont="1" applyAlignment="1">
      <alignment horizontal="left"/>
    </xf>
    <xf numFmtId="0" fontId="23" fillId="0" borderId="0" xfId="0" applyFont="1" applyAlignment="1">
      <alignment horizontal="left"/>
    </xf>
    <xf numFmtId="0" fontId="7" fillId="0" borderId="0" xfId="0" applyFont="1" applyFill="1" applyAlignment="1">
      <alignment/>
    </xf>
    <xf numFmtId="0" fontId="14" fillId="0" borderId="0" xfId="0" applyFont="1" applyFill="1" applyAlignment="1">
      <alignment/>
    </xf>
    <xf numFmtId="0" fontId="7" fillId="0" borderId="0" xfId="0" applyFont="1" applyFill="1" applyAlignment="1">
      <alignment horizontal="center"/>
    </xf>
    <xf numFmtId="0" fontId="6" fillId="0" borderId="0" xfId="0" applyFont="1" applyFill="1" applyBorder="1" applyAlignment="1">
      <alignment/>
    </xf>
    <xf numFmtId="0" fontId="15" fillId="0" borderId="0" xfId="0" applyFont="1" applyFill="1" applyBorder="1" applyAlignment="1">
      <alignment/>
    </xf>
    <xf numFmtId="9" fontId="6" fillId="0" borderId="0" xfId="21" applyFont="1" applyFill="1" applyBorder="1" applyAlignment="1">
      <alignment/>
    </xf>
    <xf numFmtId="3" fontId="6" fillId="0" borderId="0" xfId="0" applyNumberFormat="1" applyFont="1" applyFill="1" applyBorder="1" applyAlignment="1">
      <alignment/>
    </xf>
    <xf numFmtId="196" fontId="15" fillId="0" borderId="0" xfId="21" applyNumberFormat="1" applyFont="1" applyFill="1" applyBorder="1" applyAlignment="1">
      <alignment/>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171" fontId="16" fillId="0" borderId="0" xfId="0" applyNumberFormat="1"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16" fillId="0" borderId="0" xfId="0" applyFont="1" applyFill="1" applyBorder="1" applyAlignment="1">
      <alignment horizontal="center"/>
    </xf>
    <xf numFmtId="0" fontId="6" fillId="0" borderId="24" xfId="0" applyFont="1" applyFill="1" applyBorder="1" applyAlignment="1">
      <alignment/>
    </xf>
    <xf numFmtId="0" fontId="6" fillId="0" borderId="25" xfId="0" applyFont="1" applyFill="1" applyBorder="1" applyAlignment="1">
      <alignment/>
    </xf>
    <xf numFmtId="0" fontId="6" fillId="0" borderId="26" xfId="0" applyFont="1" applyFill="1" applyBorder="1" applyAlignment="1">
      <alignment/>
    </xf>
    <xf numFmtId="0" fontId="6" fillId="0" borderId="27" xfId="0" applyFont="1" applyFill="1" applyBorder="1" applyAlignment="1">
      <alignment/>
    </xf>
    <xf numFmtId="191" fontId="6" fillId="0" borderId="28" xfId="17" applyNumberFormat="1" applyFont="1" applyFill="1" applyBorder="1" applyAlignment="1">
      <alignment/>
    </xf>
    <xf numFmtId="0" fontId="6" fillId="0" borderId="29" xfId="0" applyFont="1" applyFill="1" applyBorder="1" applyAlignment="1">
      <alignment/>
    </xf>
    <xf numFmtId="191" fontId="6" fillId="0" borderId="30" xfId="17" applyNumberFormat="1" applyFont="1" applyFill="1" applyBorder="1" applyAlignment="1">
      <alignment/>
    </xf>
    <xf numFmtId="0" fontId="6" fillId="0" borderId="2" xfId="17" applyNumberFormat="1" applyFont="1" applyFill="1" applyBorder="1" applyAlignment="1">
      <alignment/>
    </xf>
    <xf numFmtId="9" fontId="6" fillId="0" borderId="29" xfId="21" applyFont="1" applyFill="1" applyBorder="1" applyAlignment="1">
      <alignment horizontal="center"/>
    </xf>
    <xf numFmtId="191" fontId="6" fillId="0" borderId="31" xfId="17" applyNumberFormat="1" applyFont="1" applyFill="1" applyBorder="1" applyAlignment="1">
      <alignment/>
    </xf>
    <xf numFmtId="10" fontId="6" fillId="0" borderId="32" xfId="21" applyNumberFormat="1" applyFont="1" applyFill="1" applyBorder="1" applyAlignment="1">
      <alignment/>
    </xf>
    <xf numFmtId="191" fontId="6" fillId="0" borderId="33" xfId="17" applyNumberFormat="1" applyFont="1" applyFill="1" applyBorder="1" applyAlignment="1">
      <alignment/>
    </xf>
    <xf numFmtId="3" fontId="15" fillId="0" borderId="0" xfId="0" applyNumberFormat="1" applyFont="1" applyFill="1" applyBorder="1" applyAlignment="1">
      <alignment/>
    </xf>
    <xf numFmtId="10" fontId="6" fillId="0" borderId="32" xfId="0" applyNumberFormat="1" applyFont="1" applyFill="1" applyBorder="1" applyAlignment="1">
      <alignment/>
    </xf>
    <xf numFmtId="191" fontId="6" fillId="0" borderId="34" xfId="17" applyNumberFormat="1" applyFont="1" applyFill="1" applyBorder="1" applyAlignment="1">
      <alignment/>
    </xf>
    <xf numFmtId="0" fontId="6" fillId="0" borderId="3" xfId="17" applyNumberFormat="1" applyFont="1" applyFill="1" applyBorder="1" applyAlignment="1">
      <alignment/>
    </xf>
    <xf numFmtId="9" fontId="6" fillId="0" borderId="35" xfId="21" applyFont="1" applyFill="1" applyBorder="1" applyAlignment="1">
      <alignment horizontal="center"/>
    </xf>
    <xf numFmtId="191" fontId="6" fillId="0" borderId="36" xfId="17" applyNumberFormat="1" applyFont="1" applyFill="1" applyBorder="1" applyAlignment="1">
      <alignment/>
    </xf>
    <xf numFmtId="191" fontId="6" fillId="0" borderId="37" xfId="17" applyNumberFormat="1" applyFont="1" applyFill="1" applyBorder="1" applyAlignment="1">
      <alignment/>
    </xf>
    <xf numFmtId="10" fontId="6" fillId="0" borderId="38" xfId="0" applyNumberFormat="1" applyFont="1" applyFill="1" applyBorder="1" applyAlignment="1">
      <alignment/>
    </xf>
    <xf numFmtId="0" fontId="6" fillId="0" borderId="4" xfId="17" applyNumberFormat="1" applyFont="1" applyFill="1" applyBorder="1" applyAlignment="1">
      <alignment/>
    </xf>
    <xf numFmtId="191" fontId="6" fillId="0" borderId="39" xfId="17" applyNumberFormat="1" applyFont="1" applyFill="1" applyBorder="1" applyAlignment="1">
      <alignment/>
    </xf>
    <xf numFmtId="191" fontId="6" fillId="0" borderId="40" xfId="0" applyNumberFormat="1" applyFont="1" applyFill="1" applyBorder="1" applyAlignment="1">
      <alignment/>
    </xf>
    <xf numFmtId="0" fontId="6" fillId="0" borderId="41" xfId="0" applyFont="1" applyFill="1" applyBorder="1" applyAlignment="1">
      <alignment/>
    </xf>
    <xf numFmtId="191" fontId="6" fillId="0" borderId="41" xfId="0" applyNumberFormat="1" applyFont="1" applyFill="1" applyBorder="1" applyAlignment="1">
      <alignment/>
    </xf>
    <xf numFmtId="0" fontId="6" fillId="0" borderId="42" xfId="0" applyFont="1" applyFill="1" applyBorder="1" applyAlignment="1">
      <alignment/>
    </xf>
    <xf numFmtId="0" fontId="4" fillId="0" borderId="0" xfId="0" applyFont="1" applyFill="1" applyBorder="1" applyAlignment="1">
      <alignment/>
    </xf>
    <xf numFmtId="0" fontId="10" fillId="0" borderId="0" xfId="15" applyFont="1" applyFill="1" applyBorder="1" applyAlignment="1">
      <alignment/>
    </xf>
    <xf numFmtId="0" fontId="24" fillId="0" borderId="0" xfId="0" applyFont="1" applyFill="1" applyAlignment="1">
      <alignment/>
    </xf>
    <xf numFmtId="9" fontId="6" fillId="0" borderId="4" xfId="21" applyFont="1" applyFill="1" applyBorder="1" applyAlignment="1">
      <alignment horizontal="center"/>
    </xf>
    <xf numFmtId="3" fontId="6" fillId="0" borderId="40" xfId="0" applyNumberFormat="1" applyFont="1" applyFill="1" applyBorder="1" applyAlignment="1">
      <alignment/>
    </xf>
    <xf numFmtId="3" fontId="6" fillId="0" borderId="41" xfId="0" applyNumberFormat="1" applyFont="1" applyFill="1" applyBorder="1" applyAlignment="1">
      <alignment/>
    </xf>
    <xf numFmtId="0" fontId="25" fillId="0" borderId="0" xfId="15" applyFont="1" applyAlignment="1">
      <alignment horizontal="center" vertical="center" wrapText="1"/>
    </xf>
    <xf numFmtId="0" fontId="28" fillId="0" borderId="0" xfId="0" applyFont="1" applyFill="1" applyAlignment="1">
      <alignment/>
    </xf>
    <xf numFmtId="0" fontId="29" fillId="0" borderId="0" xfId="0" applyFont="1" applyFill="1" applyAlignment="1">
      <alignment/>
    </xf>
    <xf numFmtId="0" fontId="22" fillId="0" borderId="0" xfId="0" applyFont="1" applyAlignment="1">
      <alignment vertical="center"/>
    </xf>
    <xf numFmtId="0" fontId="27" fillId="0" borderId="0" xfId="15" applyFont="1" applyAlignment="1">
      <alignment horizontal="center" vertical="center" wrapText="1"/>
    </xf>
    <xf numFmtId="0" fontId="25" fillId="0" borderId="0" xfId="15" applyFont="1" applyFill="1" applyAlignment="1">
      <alignment horizontal="left"/>
    </xf>
    <xf numFmtId="0" fontId="5" fillId="0" borderId="43" xfId="0" applyFont="1" applyFill="1" applyBorder="1" applyAlignment="1">
      <alignment horizontal="center"/>
    </xf>
    <xf numFmtId="0" fontId="5" fillId="0" borderId="44" xfId="0" applyFont="1" applyFill="1" applyBorder="1" applyAlignment="1">
      <alignment horizontal="center"/>
    </xf>
    <xf numFmtId="0" fontId="6" fillId="0" borderId="45" xfId="0" applyFont="1" applyFill="1" applyBorder="1" applyAlignment="1">
      <alignment horizontal="center"/>
    </xf>
    <xf numFmtId="0" fontId="6" fillId="0" borderId="46" xfId="0" applyFont="1" applyFill="1" applyBorder="1" applyAlignment="1">
      <alignment horizontal="center"/>
    </xf>
    <xf numFmtId="0" fontId="6" fillId="0" borderId="47" xfId="0" applyFont="1" applyFill="1" applyBorder="1" applyAlignment="1">
      <alignment horizontal="center"/>
    </xf>
    <xf numFmtId="0" fontId="6" fillId="0" borderId="48" xfId="0" applyFont="1" applyFill="1" applyBorder="1" applyAlignment="1">
      <alignment horizontal="center"/>
    </xf>
    <xf numFmtId="0" fontId="11" fillId="0" borderId="0" xfId="0" applyFont="1" applyFill="1" applyAlignment="1">
      <alignment horizontal="center" wrapText="1"/>
    </xf>
    <xf numFmtId="0" fontId="12" fillId="0" borderId="0" xfId="0" applyFont="1" applyFill="1" applyAlignment="1">
      <alignment horizontal="center"/>
    </xf>
    <xf numFmtId="0" fontId="13" fillId="0" borderId="0" xfId="0" applyFont="1" applyFill="1" applyBorder="1" applyAlignment="1">
      <alignment horizontal="center"/>
    </xf>
    <xf numFmtId="0" fontId="6" fillId="0" borderId="49" xfId="0" applyFont="1" applyFill="1" applyBorder="1" applyAlignment="1">
      <alignment horizontal="center"/>
    </xf>
    <xf numFmtId="0" fontId="6" fillId="0" borderId="50" xfId="0" applyFont="1" applyFill="1" applyBorder="1" applyAlignment="1">
      <alignment horizontal="center"/>
    </xf>
    <xf numFmtId="0" fontId="22" fillId="0" borderId="0" xfId="0" applyFont="1" applyFill="1" applyAlignment="1">
      <alignment horizontal="center" wrapText="1"/>
    </xf>
    <xf numFmtId="0" fontId="5" fillId="0" borderId="51" xfId="0" applyFont="1" applyFill="1" applyBorder="1" applyAlignment="1">
      <alignment horizontal="center"/>
    </xf>
    <xf numFmtId="0" fontId="5" fillId="0" borderId="52" xfId="0" applyFont="1" applyFill="1" applyBorder="1" applyAlignment="1">
      <alignment horizontal="center"/>
    </xf>
    <xf numFmtId="0" fontId="5" fillId="0" borderId="53" xfId="0" applyFont="1" applyFill="1" applyBorder="1" applyAlignment="1">
      <alignment horizontal="center"/>
    </xf>
    <xf numFmtId="0" fontId="5" fillId="0" borderId="54" xfId="0" applyFont="1" applyFill="1" applyBorder="1" applyAlignment="1">
      <alignment horizontal="center"/>
    </xf>
    <xf numFmtId="0" fontId="23"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57150</xdr:rowOff>
    </xdr:from>
    <xdr:to>
      <xdr:col>0</xdr:col>
      <xdr:colOff>3105150</xdr:colOff>
      <xdr:row>4</xdr:row>
      <xdr:rowOff>28575</xdr:rowOff>
    </xdr:to>
    <xdr:pic>
      <xdr:nvPicPr>
        <xdr:cNvPr id="1" name="Picture 1"/>
        <xdr:cNvPicPr preferRelativeResize="1">
          <a:picLocks noChangeAspect="1"/>
        </xdr:cNvPicPr>
      </xdr:nvPicPr>
      <xdr:blipFill>
        <a:blip r:embed="rId1"/>
        <a:stretch>
          <a:fillRect/>
        </a:stretch>
      </xdr:blipFill>
      <xdr:spPr>
        <a:xfrm>
          <a:off x="104775" y="57150"/>
          <a:ext cx="3000375" cy="6191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66675</xdr:rowOff>
    </xdr:from>
    <xdr:to>
      <xdr:col>3</xdr:col>
      <xdr:colOff>304800</xdr:colOff>
      <xdr:row>4</xdr:row>
      <xdr:rowOff>76200</xdr:rowOff>
    </xdr:to>
    <xdr:pic>
      <xdr:nvPicPr>
        <xdr:cNvPr id="1" name="Picture 7"/>
        <xdr:cNvPicPr preferRelativeResize="1">
          <a:picLocks noChangeAspect="1"/>
        </xdr:cNvPicPr>
      </xdr:nvPicPr>
      <xdr:blipFill>
        <a:blip r:embed="rId1"/>
        <a:stretch>
          <a:fillRect/>
        </a:stretch>
      </xdr:blipFill>
      <xdr:spPr>
        <a:xfrm>
          <a:off x="104775" y="66675"/>
          <a:ext cx="3000375" cy="6572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66675</xdr:rowOff>
    </xdr:from>
    <xdr:to>
      <xdr:col>3</xdr:col>
      <xdr:colOff>276225</xdr:colOff>
      <xdr:row>4</xdr:row>
      <xdr:rowOff>76200</xdr:rowOff>
    </xdr:to>
    <xdr:pic>
      <xdr:nvPicPr>
        <xdr:cNvPr id="1" name="Picture 4"/>
        <xdr:cNvPicPr preferRelativeResize="1">
          <a:picLocks noChangeAspect="1"/>
        </xdr:cNvPicPr>
      </xdr:nvPicPr>
      <xdr:blipFill>
        <a:blip r:embed="rId1"/>
        <a:stretch>
          <a:fillRect/>
        </a:stretch>
      </xdr:blipFill>
      <xdr:spPr>
        <a:xfrm>
          <a:off x="104775" y="66675"/>
          <a:ext cx="3000375" cy="6572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66675</xdr:rowOff>
    </xdr:from>
    <xdr:to>
      <xdr:col>2</xdr:col>
      <xdr:colOff>1009650</xdr:colOff>
      <xdr:row>3</xdr:row>
      <xdr:rowOff>228600</xdr:rowOff>
    </xdr:to>
    <xdr:pic>
      <xdr:nvPicPr>
        <xdr:cNvPr id="1" name="Picture 5"/>
        <xdr:cNvPicPr preferRelativeResize="1">
          <a:picLocks noChangeAspect="1"/>
        </xdr:cNvPicPr>
      </xdr:nvPicPr>
      <xdr:blipFill>
        <a:blip r:embed="rId1"/>
        <a:stretch>
          <a:fillRect/>
        </a:stretch>
      </xdr:blipFill>
      <xdr:spPr>
        <a:xfrm>
          <a:off x="104775" y="66675"/>
          <a:ext cx="3000375" cy="6477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57150</xdr:rowOff>
    </xdr:from>
    <xdr:to>
      <xdr:col>0</xdr:col>
      <xdr:colOff>3105150</xdr:colOff>
      <xdr:row>4</xdr:row>
      <xdr:rowOff>28575</xdr:rowOff>
    </xdr:to>
    <xdr:pic>
      <xdr:nvPicPr>
        <xdr:cNvPr id="1" name="Picture 1"/>
        <xdr:cNvPicPr preferRelativeResize="1">
          <a:picLocks noChangeAspect="1"/>
        </xdr:cNvPicPr>
      </xdr:nvPicPr>
      <xdr:blipFill>
        <a:blip r:embed="rId1"/>
        <a:stretch>
          <a:fillRect/>
        </a:stretch>
      </xdr:blipFill>
      <xdr:spPr>
        <a:xfrm>
          <a:off x="104775" y="57150"/>
          <a:ext cx="3000375" cy="6191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ctualicese.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ctualicese.com/"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ctualicese.com/"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Q16"/>
  <sheetViews>
    <sheetView showGridLines="0" tabSelected="1" workbookViewId="0" topLeftCell="A1">
      <selection activeCell="A1" sqref="A1"/>
    </sheetView>
  </sheetViews>
  <sheetFormatPr defaultColWidth="11.00390625" defaultRowHeight="12.75"/>
  <cols>
    <col min="1" max="1" width="66.75390625" style="5" customWidth="1"/>
    <col min="2" max="2" width="16.375" style="5" customWidth="1"/>
    <col min="3" max="3" width="15.625" style="5" customWidth="1"/>
    <col min="4" max="4" width="18.00390625" style="5" customWidth="1"/>
    <col min="5" max="16384" width="11.00390625" style="5" customWidth="1"/>
  </cols>
  <sheetData>
    <row r="1" ht="12.75"/>
    <row r="2" ht="12.75"/>
    <row r="3" ht="12.75"/>
    <row r="4" ht="12.75"/>
    <row r="5" ht="12.75"/>
    <row r="6" ht="50.25" customHeight="1">
      <c r="A6" s="76" t="s">
        <v>94</v>
      </c>
    </row>
    <row r="7" spans="1:17" s="12" customFormat="1" ht="12.75">
      <c r="A7" s="69" t="s">
        <v>81</v>
      </c>
      <c r="Q7" s="13"/>
    </row>
    <row r="8" spans="1:17" s="12" customFormat="1" ht="12.75">
      <c r="A8" s="69" t="s">
        <v>82</v>
      </c>
      <c r="Q8" s="13"/>
    </row>
    <row r="9" spans="1:17" s="12" customFormat="1" ht="12.75">
      <c r="A9" s="69" t="s">
        <v>83</v>
      </c>
      <c r="Q9" s="13"/>
    </row>
    <row r="10" spans="1:17" s="12" customFormat="1" ht="12.75">
      <c r="A10" s="69" t="s">
        <v>84</v>
      </c>
      <c r="Q10" s="13"/>
    </row>
    <row r="11" spans="1:17" s="12" customFormat="1" ht="32.25" customHeight="1">
      <c r="A11" s="69"/>
      <c r="Q11" s="13"/>
    </row>
    <row r="12" spans="1:17" s="12" customFormat="1" ht="20.25" customHeight="1">
      <c r="A12" s="77" t="s">
        <v>91</v>
      </c>
      <c r="B12" s="77"/>
      <c r="C12" s="77"/>
      <c r="D12" s="77"/>
      <c r="Q12" s="13"/>
    </row>
    <row r="13" spans="1:17" s="12" customFormat="1" ht="19.5" customHeight="1">
      <c r="A13" s="77" t="s">
        <v>95</v>
      </c>
      <c r="B13" s="77"/>
      <c r="C13" s="77"/>
      <c r="D13" s="77"/>
      <c r="Q13" s="13"/>
    </row>
    <row r="14" spans="1:17" s="12" customFormat="1" ht="18">
      <c r="A14" s="77" t="s">
        <v>96</v>
      </c>
      <c r="B14" s="77"/>
      <c r="C14" s="77"/>
      <c r="D14" s="77"/>
      <c r="Q14" s="13"/>
    </row>
    <row r="15" spans="1:17" s="12" customFormat="1" ht="20.25" customHeight="1">
      <c r="A15" s="74"/>
      <c r="B15" s="75"/>
      <c r="C15" s="75"/>
      <c r="D15" s="75"/>
      <c r="Q15" s="13"/>
    </row>
    <row r="16" spans="1:4" ht="18">
      <c r="A16" s="77" t="s">
        <v>91</v>
      </c>
      <c r="B16" s="77"/>
      <c r="C16" s="77"/>
      <c r="D16" s="77"/>
    </row>
  </sheetData>
  <mergeCells count="4">
    <mergeCell ref="A12:D12"/>
    <mergeCell ref="A13:D13"/>
    <mergeCell ref="A14:D14"/>
    <mergeCell ref="A16:D16"/>
  </mergeCells>
  <hyperlinks>
    <hyperlink ref="A13" location="'con metodo PEPS'!A1" display="Haz click aquí para ver el ejemplo con PEPS"/>
    <hyperlink ref="A14" location="'con metodo UEPS'!A1" display="Haz click aquí para ver un ejemplo con UEPS"/>
    <hyperlink ref="A12" location="'con metodo PROMEDIO'!A1" display="Haz click aquí para ver un ejemplo con el método Promedio"/>
    <hyperlink ref="A16" location="'con metodo PROMEDIO'!A1" display="Haz click aquí para ver un ejemplo con el método Promedio"/>
    <hyperlink ref="A16:D16" location="'resumen comparativo'!A1" display="Haz click aquí para ver un ejemplo con el método Promedio"/>
  </hyperlinks>
  <printOptions horizontalCentered="1" verticalCentered="1"/>
  <pageMargins left="0.7874015748031497" right="0.7874015748031497" top="0.984251968503937" bottom="0.984251968503937" header="0" footer="0"/>
  <pageSetup fitToHeight="1" fitToWidth="1" orientation="landscape" scale="96" r:id="rId2"/>
  <headerFooter alignWithMargins="0">
    <oddHeader>&amp;Lhttp://www.actualicese.com/herramientas</oddHeader>
    <oddFooter>&amp;Ractualicese.com
El Portal del Contador Público</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5:Q35"/>
  <sheetViews>
    <sheetView showGridLines="0" workbookViewId="0" topLeftCell="A1">
      <selection activeCell="A5" sqref="A5:O6"/>
    </sheetView>
  </sheetViews>
  <sheetFormatPr defaultColWidth="11.00390625" defaultRowHeight="12.75"/>
  <cols>
    <col min="1" max="1" width="11.00390625" style="12" customWidth="1"/>
    <col min="2" max="2" width="12.75390625" style="12" customWidth="1"/>
    <col min="3" max="3" width="13.00390625" style="12" customWidth="1"/>
    <col min="4" max="4" width="15.375" style="12" customWidth="1"/>
    <col min="5" max="5" width="13.25390625" style="12" customWidth="1"/>
    <col min="6" max="6" width="15.25390625" style="12" customWidth="1"/>
    <col min="7" max="7" width="17.00390625" style="12" customWidth="1"/>
    <col min="8" max="8" width="13.50390625" style="12" customWidth="1"/>
    <col min="9" max="9" width="12.375" style="12" customWidth="1"/>
    <col min="10" max="10" width="11.00390625" style="12" customWidth="1"/>
    <col min="11" max="11" width="12.375" style="12" bestFit="1" customWidth="1"/>
    <col min="12" max="12" width="14.875" style="12" bestFit="1" customWidth="1"/>
    <col min="13" max="13" width="12.375" style="12" bestFit="1" customWidth="1"/>
    <col min="14" max="14" width="14.25390625" style="12" customWidth="1"/>
    <col min="15" max="15" width="13.50390625" style="12" customWidth="1"/>
    <col min="16" max="16" width="11.00390625" style="12" customWidth="1"/>
    <col min="17" max="17" width="14.125" style="13" bestFit="1" customWidth="1"/>
    <col min="18" max="16384" width="11.00390625" style="12" customWidth="1"/>
  </cols>
  <sheetData>
    <row r="1" ht="12.75"/>
    <row r="2" ht="12.75"/>
    <row r="3" ht="12.75"/>
    <row r="4" ht="12.75"/>
    <row r="5" spans="1:15" ht="48" customHeight="1">
      <c r="A5" s="85" t="s">
        <v>19</v>
      </c>
      <c r="B5" s="85"/>
      <c r="C5" s="85"/>
      <c r="D5" s="85"/>
      <c r="E5" s="85"/>
      <c r="F5" s="85"/>
      <c r="G5" s="85"/>
      <c r="H5" s="85"/>
      <c r="I5" s="85"/>
      <c r="J5" s="85"/>
      <c r="K5" s="85"/>
      <c r="L5" s="85"/>
      <c r="M5" s="85"/>
      <c r="N5" s="85"/>
      <c r="O5" s="85"/>
    </row>
    <row r="6" spans="1:15" ht="18" customHeight="1">
      <c r="A6" s="90" t="s">
        <v>85</v>
      </c>
      <c r="B6" s="85"/>
      <c r="C6" s="85"/>
      <c r="D6" s="85"/>
      <c r="E6" s="85"/>
      <c r="F6" s="85"/>
      <c r="G6" s="85"/>
      <c r="H6" s="85"/>
      <c r="I6" s="85"/>
      <c r="J6" s="85"/>
      <c r="K6" s="85"/>
      <c r="L6" s="85"/>
      <c r="M6" s="85"/>
      <c r="N6" s="85"/>
      <c r="O6" s="85"/>
    </row>
    <row r="7" spans="1:15" ht="18">
      <c r="A7" s="86" t="s">
        <v>17</v>
      </c>
      <c r="B7" s="86"/>
      <c r="C7" s="86"/>
      <c r="D7" s="86"/>
      <c r="E7" s="86"/>
      <c r="F7" s="86"/>
      <c r="G7" s="86"/>
      <c r="H7" s="86"/>
      <c r="I7" s="86"/>
      <c r="J7" s="86"/>
      <c r="K7" s="86"/>
      <c r="L7" s="86"/>
      <c r="M7" s="86"/>
      <c r="N7" s="86"/>
      <c r="O7" s="86"/>
    </row>
    <row r="8" spans="1:15" ht="12.75">
      <c r="A8" s="14"/>
      <c r="B8" s="14"/>
      <c r="C8" s="14"/>
      <c r="D8" s="14"/>
      <c r="E8" s="14"/>
      <c r="F8" s="14"/>
      <c r="G8" s="14"/>
      <c r="H8" s="14"/>
      <c r="I8" s="14"/>
      <c r="J8" s="14"/>
      <c r="K8" s="14"/>
      <c r="L8" s="14"/>
      <c r="M8" s="14"/>
      <c r="N8" s="14"/>
      <c r="O8" s="14"/>
    </row>
    <row r="9" spans="1:17" ht="14.25">
      <c r="A9" s="87" t="s">
        <v>93</v>
      </c>
      <c r="B9" s="87"/>
      <c r="C9" s="87"/>
      <c r="D9" s="87"/>
      <c r="E9" s="87"/>
      <c r="F9" s="87"/>
      <c r="G9" s="87"/>
      <c r="H9" s="87"/>
      <c r="I9" s="87"/>
      <c r="J9" s="87"/>
      <c r="K9" s="87"/>
      <c r="L9" s="87"/>
      <c r="M9" s="87"/>
      <c r="N9" s="87"/>
      <c r="O9" s="87"/>
      <c r="P9" s="15"/>
      <c r="Q9" s="16"/>
    </row>
    <row r="10" spans="1:17" ht="13.5" thickBot="1">
      <c r="A10" s="15"/>
      <c r="B10" s="15"/>
      <c r="C10" s="15"/>
      <c r="D10" s="15"/>
      <c r="E10" s="15"/>
      <c r="F10" s="17"/>
      <c r="G10" s="17"/>
      <c r="H10" s="15"/>
      <c r="I10" s="15"/>
      <c r="J10" s="15"/>
      <c r="K10" s="15"/>
      <c r="L10" s="15"/>
      <c r="M10" s="18" t="s">
        <v>0</v>
      </c>
      <c r="N10" s="15"/>
      <c r="O10" s="15"/>
      <c r="P10" s="15"/>
      <c r="Q10" s="16"/>
    </row>
    <row r="11" spans="1:17" ht="13.5" thickBot="1">
      <c r="A11" s="15"/>
      <c r="B11" s="88" t="s">
        <v>18</v>
      </c>
      <c r="C11" s="89"/>
      <c r="D11" s="89"/>
      <c r="E11" s="89"/>
      <c r="F11" s="89"/>
      <c r="G11" s="89"/>
      <c r="H11" s="89"/>
      <c r="I11" s="81" t="s">
        <v>13</v>
      </c>
      <c r="J11" s="82"/>
      <c r="K11" s="83"/>
      <c r="L11" s="83"/>
      <c r="M11" s="83"/>
      <c r="N11" s="83"/>
      <c r="O11" s="84"/>
      <c r="P11" s="15"/>
      <c r="Q11" s="19">
        <f>+K18/5465396697</f>
        <v>0.0024560461537527804</v>
      </c>
    </row>
    <row r="12" spans="1:17" ht="12.75">
      <c r="A12" s="20"/>
      <c r="B12" s="21" t="s">
        <v>20</v>
      </c>
      <c r="C12" s="22" t="s">
        <v>23</v>
      </c>
      <c r="D12" s="22" t="s">
        <v>23</v>
      </c>
      <c r="E12" s="22" t="s">
        <v>26</v>
      </c>
      <c r="F12" s="91" t="s">
        <v>29</v>
      </c>
      <c r="G12" s="92"/>
      <c r="H12" s="23" t="s">
        <v>41</v>
      </c>
      <c r="I12" s="24" t="s">
        <v>35</v>
      </c>
      <c r="J12" s="25" t="s">
        <v>45</v>
      </c>
      <c r="K12" s="26" t="s">
        <v>37</v>
      </c>
      <c r="L12" s="22" t="s">
        <v>43</v>
      </c>
      <c r="M12" s="22" t="s">
        <v>26</v>
      </c>
      <c r="N12" s="22" t="s">
        <v>51</v>
      </c>
      <c r="O12" s="27" t="s">
        <v>57</v>
      </c>
      <c r="P12" s="28"/>
      <c r="Q12" s="29">
        <f>+Q11*F18</f>
        <v>12280230.768763902</v>
      </c>
    </row>
    <row r="13" spans="1:17" ht="12.75">
      <c r="A13" s="30"/>
      <c r="B13" s="21" t="s">
        <v>21</v>
      </c>
      <c r="C13" s="22" t="s">
        <v>24</v>
      </c>
      <c r="D13" s="22" t="s">
        <v>40</v>
      </c>
      <c r="E13" s="22" t="s">
        <v>27</v>
      </c>
      <c r="F13" s="93" t="s">
        <v>30</v>
      </c>
      <c r="G13" s="94"/>
      <c r="H13" s="23" t="s">
        <v>42</v>
      </c>
      <c r="I13" s="24"/>
      <c r="J13" s="22" t="s">
        <v>46</v>
      </c>
      <c r="K13" s="26" t="s">
        <v>38</v>
      </c>
      <c r="L13" s="22" t="s">
        <v>44</v>
      </c>
      <c r="M13" s="22" t="s">
        <v>48</v>
      </c>
      <c r="N13" s="22" t="s">
        <v>52</v>
      </c>
      <c r="O13" s="27" t="s">
        <v>55</v>
      </c>
      <c r="P13" s="28"/>
      <c r="Q13" s="29"/>
    </row>
    <row r="14" spans="1:17" ht="13.5" thickBot="1">
      <c r="A14" s="30"/>
      <c r="B14" s="21" t="s">
        <v>22</v>
      </c>
      <c r="C14" s="22" t="s">
        <v>25</v>
      </c>
      <c r="D14" s="22" t="s">
        <v>32</v>
      </c>
      <c r="E14" s="22" t="s">
        <v>28</v>
      </c>
      <c r="F14" s="79" t="s">
        <v>31</v>
      </c>
      <c r="G14" s="80"/>
      <c r="H14" s="23"/>
      <c r="I14" s="24"/>
      <c r="J14" s="22" t="s">
        <v>47</v>
      </c>
      <c r="K14" s="26" t="s">
        <v>39</v>
      </c>
      <c r="L14" s="22" t="s">
        <v>32</v>
      </c>
      <c r="M14" s="22" t="s">
        <v>49</v>
      </c>
      <c r="N14" s="22" t="s">
        <v>53</v>
      </c>
      <c r="O14" s="27" t="s">
        <v>56</v>
      </c>
      <c r="P14" s="28"/>
      <c r="Q14" s="29"/>
    </row>
    <row r="15" spans="1:17" ht="12.75">
      <c r="A15" s="30"/>
      <c r="B15" s="21"/>
      <c r="C15" s="22"/>
      <c r="D15" s="22" t="s">
        <v>33</v>
      </c>
      <c r="E15" s="22"/>
      <c r="F15" s="31"/>
      <c r="G15" s="31" t="s">
        <v>36</v>
      </c>
      <c r="H15" s="23"/>
      <c r="I15" s="24"/>
      <c r="J15" s="22"/>
      <c r="K15" s="26"/>
      <c r="L15" s="22" t="s">
        <v>33</v>
      </c>
      <c r="M15" s="22" t="s">
        <v>50</v>
      </c>
      <c r="N15" s="22" t="s">
        <v>54</v>
      </c>
      <c r="O15" s="27" t="s">
        <v>50</v>
      </c>
      <c r="P15" s="28"/>
      <c r="Q15" s="29"/>
    </row>
    <row r="16" spans="1:17" ht="13.5" thickBot="1">
      <c r="A16" s="32" t="s">
        <v>14</v>
      </c>
      <c r="B16" s="33"/>
      <c r="C16" s="34"/>
      <c r="D16" s="34"/>
      <c r="E16" s="34"/>
      <c r="F16" s="35" t="s">
        <v>34</v>
      </c>
      <c r="G16" s="35" t="s">
        <v>59</v>
      </c>
      <c r="H16" s="36"/>
      <c r="I16" s="37"/>
      <c r="J16" s="34"/>
      <c r="K16" s="38"/>
      <c r="L16" s="34"/>
      <c r="M16" s="34"/>
      <c r="N16" s="34"/>
      <c r="O16" s="39" t="s">
        <v>58</v>
      </c>
      <c r="P16" s="28"/>
      <c r="Q16" s="40"/>
    </row>
    <row r="17" spans="1:17" ht="12.75">
      <c r="A17" s="41"/>
      <c r="B17" s="42"/>
      <c r="C17" s="1"/>
      <c r="D17" s="1"/>
      <c r="E17" s="1"/>
      <c r="F17" s="1"/>
      <c r="G17" s="41"/>
      <c r="H17" s="43"/>
      <c r="I17" s="44"/>
      <c r="J17" s="1"/>
      <c r="K17" s="1"/>
      <c r="L17" s="1"/>
      <c r="M17" s="1"/>
      <c r="N17" s="1"/>
      <c r="O17" s="45"/>
      <c r="P17" s="15"/>
      <c r="Q17" s="16"/>
    </row>
    <row r="18" spans="1:17" ht="12.75">
      <c r="A18" s="46" t="s">
        <v>1</v>
      </c>
      <c r="B18" s="47">
        <v>3707328360</v>
      </c>
      <c r="C18" s="2">
        <v>1758068337</v>
      </c>
      <c r="D18" s="48">
        <v>0</v>
      </c>
      <c r="E18" s="2">
        <f>+B18+C18</f>
        <v>5465396697</v>
      </c>
      <c r="F18" s="2">
        <v>5000000000</v>
      </c>
      <c r="G18" s="49">
        <f>+F18/E18</f>
        <v>0.9148466757672943</v>
      </c>
      <c r="H18" s="50">
        <f aca="true" t="shared" si="0" ref="H18:H29">+B18+C18-F18</f>
        <v>465396697</v>
      </c>
      <c r="I18" s="2">
        <v>21356789</v>
      </c>
      <c r="J18" s="51">
        <v>0.0036</v>
      </c>
      <c r="K18" s="2">
        <f>(+B18+I18)*J18</f>
        <v>13423266.5364</v>
      </c>
      <c r="L18" s="48">
        <v>0</v>
      </c>
      <c r="M18" s="2">
        <f>+I18+K18+L18</f>
        <v>34780055.5364</v>
      </c>
      <c r="N18" s="2">
        <f>+M18*G18</f>
        <v>31818418.190477416</v>
      </c>
      <c r="O18" s="52">
        <f>+M18-N18</f>
        <v>2961637.345922582</v>
      </c>
      <c r="P18" s="15"/>
      <c r="Q18" s="53">
        <f>+B18-F18</f>
        <v>-1292671640</v>
      </c>
    </row>
    <row r="19" spans="1:17" ht="12.75">
      <c r="A19" s="46" t="s">
        <v>2</v>
      </c>
      <c r="B19" s="47">
        <f aca="true" t="shared" si="1" ref="B19:B29">+H18</f>
        <v>465396697</v>
      </c>
      <c r="C19" s="2">
        <v>2864704707</v>
      </c>
      <c r="D19" s="48">
        <v>0</v>
      </c>
      <c r="E19" s="2">
        <f aca="true" t="shared" si="2" ref="E19:E29">+B19+C19</f>
        <v>3330101404</v>
      </c>
      <c r="F19" s="2">
        <v>400000000</v>
      </c>
      <c r="G19" s="49">
        <f aca="true" t="shared" si="3" ref="G19:G29">+F19/E19</f>
        <v>0.12011646237545023</v>
      </c>
      <c r="H19" s="50">
        <f t="shared" si="0"/>
        <v>2930101404</v>
      </c>
      <c r="I19" s="2">
        <f>+O18</f>
        <v>2961637.345922582</v>
      </c>
      <c r="J19" s="54">
        <v>0.0083</v>
      </c>
      <c r="K19" s="2">
        <f aca="true" t="shared" si="4" ref="K19:K29">(+B19+O18)*J19</f>
        <v>3887374.1750711575</v>
      </c>
      <c r="L19" s="48">
        <v>0</v>
      </c>
      <c r="M19" s="2">
        <f aca="true" t="shared" si="5" ref="M19:M29">+I19+K19+L19</f>
        <v>6849011.520993739</v>
      </c>
      <c r="N19" s="2">
        <f aca="true" t="shared" si="6" ref="N19:N29">+M19*G19</f>
        <v>822679.0346704697</v>
      </c>
      <c r="O19" s="52">
        <f aca="true" t="shared" si="7" ref="O19:O29">+M19-N19</f>
        <v>6026332.48632327</v>
      </c>
      <c r="P19" s="15"/>
      <c r="Q19" s="53">
        <f>+M18-N18</f>
        <v>2961637.345922582</v>
      </c>
    </row>
    <row r="20" spans="1:17" ht="12.75">
      <c r="A20" s="46" t="s">
        <v>3</v>
      </c>
      <c r="B20" s="47">
        <f t="shared" si="1"/>
        <v>2930101404</v>
      </c>
      <c r="C20" s="2">
        <v>3321372327</v>
      </c>
      <c r="D20" s="48">
        <v>0</v>
      </c>
      <c r="E20" s="2">
        <f t="shared" si="2"/>
        <v>6251473731</v>
      </c>
      <c r="F20" s="2">
        <v>2949792043</v>
      </c>
      <c r="G20" s="49">
        <f t="shared" si="3"/>
        <v>0.47185546479584173</v>
      </c>
      <c r="H20" s="50">
        <f t="shared" si="0"/>
        <v>3301681688</v>
      </c>
      <c r="I20" s="2">
        <f aca="true" t="shared" si="8" ref="I20:I29">+O19</f>
        <v>6026332.48632327</v>
      </c>
      <c r="J20" s="54">
        <v>0.0093</v>
      </c>
      <c r="K20" s="2">
        <f t="shared" si="4"/>
        <v>27305987.949322805</v>
      </c>
      <c r="L20" s="48">
        <v>0</v>
      </c>
      <c r="M20" s="2">
        <f t="shared" si="5"/>
        <v>33332320.435646076</v>
      </c>
      <c r="N20" s="2">
        <f t="shared" si="6"/>
        <v>15728037.551885713</v>
      </c>
      <c r="O20" s="52">
        <f t="shared" si="7"/>
        <v>17604282.883760363</v>
      </c>
      <c r="P20" s="15"/>
      <c r="Q20" s="53">
        <f>+C18</f>
        <v>1758068337</v>
      </c>
    </row>
    <row r="21" spans="1:17" ht="12.75">
      <c r="A21" s="46" t="s">
        <v>4</v>
      </c>
      <c r="B21" s="47">
        <f t="shared" si="1"/>
        <v>3301681688</v>
      </c>
      <c r="C21" s="2">
        <v>2650606600</v>
      </c>
      <c r="D21" s="48">
        <v>0</v>
      </c>
      <c r="E21" s="2">
        <f t="shared" si="2"/>
        <v>5952288288</v>
      </c>
      <c r="F21" s="2">
        <v>2808838302</v>
      </c>
      <c r="G21" s="49">
        <f t="shared" si="3"/>
        <v>0.47189218097226676</v>
      </c>
      <c r="H21" s="50">
        <f t="shared" si="0"/>
        <v>3143449986</v>
      </c>
      <c r="I21" s="2">
        <f t="shared" si="8"/>
        <v>17604282.883760363</v>
      </c>
      <c r="J21" s="54">
        <v>0.0074</v>
      </c>
      <c r="K21" s="2">
        <f t="shared" si="4"/>
        <v>24562716.18453983</v>
      </c>
      <c r="L21" s="48">
        <v>0</v>
      </c>
      <c r="M21" s="2">
        <f t="shared" si="5"/>
        <v>42166999.06830019</v>
      </c>
      <c r="N21" s="2">
        <f t="shared" si="6"/>
        <v>19898277.155395716</v>
      </c>
      <c r="O21" s="52">
        <f t="shared" si="7"/>
        <v>22268721.91290447</v>
      </c>
      <c r="P21" s="15"/>
      <c r="Q21" s="53">
        <f>+H18+O18</f>
        <v>468358334.3459226</v>
      </c>
    </row>
    <row r="22" spans="1:17" ht="12.75">
      <c r="A22" s="46" t="s">
        <v>5</v>
      </c>
      <c r="B22" s="47">
        <f t="shared" si="1"/>
        <v>3143449986</v>
      </c>
      <c r="C22" s="2">
        <v>3116695803</v>
      </c>
      <c r="D22" s="48">
        <v>0</v>
      </c>
      <c r="E22" s="2">
        <f t="shared" si="2"/>
        <v>6260145789</v>
      </c>
      <c r="F22" s="2">
        <v>2841995418</v>
      </c>
      <c r="G22" s="49">
        <f t="shared" si="3"/>
        <v>0.45398230549100077</v>
      </c>
      <c r="H22" s="50">
        <f t="shared" si="0"/>
        <v>3418150371</v>
      </c>
      <c r="I22" s="2">
        <f t="shared" si="8"/>
        <v>22268721.91290447</v>
      </c>
      <c r="J22" s="54">
        <v>0.0047</v>
      </c>
      <c r="K22" s="2">
        <f t="shared" si="4"/>
        <v>14878877.92719065</v>
      </c>
      <c r="L22" s="48">
        <v>0</v>
      </c>
      <c r="M22" s="2">
        <f t="shared" si="5"/>
        <v>37147599.84009512</v>
      </c>
      <c r="N22" s="2">
        <f t="shared" si="6"/>
        <v>16864353.018863514</v>
      </c>
      <c r="O22" s="52">
        <f t="shared" si="7"/>
        <v>20283246.821231604</v>
      </c>
      <c r="P22" s="15"/>
      <c r="Q22" s="53">
        <f>+Q18+Q19+Q20-Q21</f>
        <v>0</v>
      </c>
    </row>
    <row r="23" spans="1:17" ht="12.75">
      <c r="A23" s="46" t="s">
        <v>6</v>
      </c>
      <c r="B23" s="47">
        <f t="shared" si="1"/>
        <v>3418150371</v>
      </c>
      <c r="C23" s="2">
        <v>2673588590</v>
      </c>
      <c r="D23" s="48">
        <v>0</v>
      </c>
      <c r="E23" s="2">
        <f t="shared" si="2"/>
        <v>6091738961</v>
      </c>
      <c r="F23" s="2">
        <v>3008020105</v>
      </c>
      <c r="G23" s="49">
        <f t="shared" si="3"/>
        <v>0.4937867699613664</v>
      </c>
      <c r="H23" s="50">
        <f t="shared" si="0"/>
        <v>3083718856</v>
      </c>
      <c r="I23" s="2">
        <f t="shared" si="8"/>
        <v>20283246.821231604</v>
      </c>
      <c r="J23" s="54">
        <v>0.0042</v>
      </c>
      <c r="K23" s="2">
        <f t="shared" si="4"/>
        <v>14441421.194849173</v>
      </c>
      <c r="L23" s="48">
        <v>0</v>
      </c>
      <c r="M23" s="2">
        <f t="shared" si="5"/>
        <v>34724668.016080774</v>
      </c>
      <c r="N23" s="2">
        <f t="shared" si="6"/>
        <v>17146581.657641295</v>
      </c>
      <c r="O23" s="52">
        <f t="shared" si="7"/>
        <v>17578086.35843948</v>
      </c>
      <c r="P23" s="15"/>
      <c r="Q23" s="16"/>
    </row>
    <row r="24" spans="1:17" ht="12.75">
      <c r="A24" s="46" t="s">
        <v>7</v>
      </c>
      <c r="B24" s="47">
        <f t="shared" si="1"/>
        <v>3083718856</v>
      </c>
      <c r="C24" s="2">
        <v>3482053908</v>
      </c>
      <c r="D24" s="48">
        <v>0</v>
      </c>
      <c r="E24" s="2">
        <f t="shared" si="2"/>
        <v>6565772764</v>
      </c>
      <c r="F24" s="2">
        <v>3062069662</v>
      </c>
      <c r="G24" s="49">
        <f t="shared" si="3"/>
        <v>0.4663685101606419</v>
      </c>
      <c r="H24" s="50">
        <f t="shared" si="0"/>
        <v>3503703102</v>
      </c>
      <c r="I24" s="2">
        <f t="shared" si="8"/>
        <v>17578086.35843948</v>
      </c>
      <c r="J24" s="54">
        <v>0.0042</v>
      </c>
      <c r="K24" s="2">
        <f t="shared" si="4"/>
        <v>13025447.157905445</v>
      </c>
      <c r="L24" s="48">
        <v>0</v>
      </c>
      <c r="M24" s="2">
        <f t="shared" si="5"/>
        <v>30603533.516344924</v>
      </c>
      <c r="N24" s="2">
        <f t="shared" si="6"/>
        <v>14272524.331669053</v>
      </c>
      <c r="O24" s="52">
        <f t="shared" si="7"/>
        <v>16331009.18467587</v>
      </c>
      <c r="P24" s="15"/>
      <c r="Q24" s="16"/>
    </row>
    <row r="25" spans="1:17" ht="12.75">
      <c r="A25" s="46" t="s">
        <v>8</v>
      </c>
      <c r="B25" s="47">
        <f t="shared" si="1"/>
        <v>3503703102</v>
      </c>
      <c r="C25" s="2">
        <v>3334161426</v>
      </c>
      <c r="D25" s="48">
        <v>0</v>
      </c>
      <c r="E25" s="2">
        <f t="shared" si="2"/>
        <v>6837864528</v>
      </c>
      <c r="F25" s="2">
        <v>3115080248</v>
      </c>
      <c r="G25" s="49">
        <f t="shared" si="3"/>
        <v>0.4555633173550349</v>
      </c>
      <c r="H25" s="50">
        <f t="shared" si="0"/>
        <v>3722784280</v>
      </c>
      <c r="I25" s="2">
        <f t="shared" si="8"/>
        <v>16331009.18467587</v>
      </c>
      <c r="J25" s="54">
        <v>0.0004</v>
      </c>
      <c r="K25" s="2">
        <f t="shared" si="4"/>
        <v>1408013.6444738703</v>
      </c>
      <c r="L25" s="48">
        <v>0</v>
      </c>
      <c r="M25" s="2">
        <f t="shared" si="5"/>
        <v>17739022.82914974</v>
      </c>
      <c r="N25" s="2">
        <f t="shared" si="6"/>
        <v>8081248.086684153</v>
      </c>
      <c r="O25" s="52">
        <f t="shared" si="7"/>
        <v>9657774.74246559</v>
      </c>
      <c r="P25" s="15"/>
      <c r="Q25" s="16"/>
    </row>
    <row r="26" spans="1:17" ht="12.75">
      <c r="A26" s="46" t="s">
        <v>9</v>
      </c>
      <c r="B26" s="47">
        <f t="shared" si="1"/>
        <v>3722784280</v>
      </c>
      <c r="C26" s="2">
        <v>3334161426</v>
      </c>
      <c r="D26" s="48">
        <v>0</v>
      </c>
      <c r="E26" s="2">
        <f t="shared" si="2"/>
        <v>7056945706</v>
      </c>
      <c r="F26" s="2">
        <v>3345698445</v>
      </c>
      <c r="G26" s="49">
        <f t="shared" si="3"/>
        <v>0.47410006883791095</v>
      </c>
      <c r="H26" s="50">
        <f t="shared" si="0"/>
        <v>3711247261</v>
      </c>
      <c r="I26" s="2">
        <f t="shared" si="8"/>
        <v>9657774.74246559</v>
      </c>
      <c r="J26" s="54">
        <v>0.0002</v>
      </c>
      <c r="K26" s="2">
        <f t="shared" si="4"/>
        <v>746488.4109484932</v>
      </c>
      <c r="L26" s="48">
        <v>0</v>
      </c>
      <c r="M26" s="2">
        <f t="shared" si="5"/>
        <v>10404263.153414082</v>
      </c>
      <c r="N26" s="2">
        <f t="shared" si="6"/>
        <v>4932661.877241356</v>
      </c>
      <c r="O26" s="52">
        <f t="shared" si="7"/>
        <v>5471601.2761727255</v>
      </c>
      <c r="P26" s="15"/>
      <c r="Q26" s="16"/>
    </row>
    <row r="27" spans="1:17" ht="12.75">
      <c r="A27" s="46" t="s">
        <v>10</v>
      </c>
      <c r="B27" s="47">
        <f>+H26</f>
        <v>3711247261</v>
      </c>
      <c r="C27" s="2">
        <v>3334161426</v>
      </c>
      <c r="D27" s="48">
        <v>0</v>
      </c>
      <c r="E27" s="2">
        <f t="shared" si="2"/>
        <v>7045408687</v>
      </c>
      <c r="F27" s="2">
        <v>2345789000</v>
      </c>
      <c r="G27" s="49">
        <f t="shared" si="3"/>
        <v>0.33295286394505225</v>
      </c>
      <c r="H27" s="50">
        <f t="shared" si="0"/>
        <v>4699619687</v>
      </c>
      <c r="I27" s="2">
        <f t="shared" si="8"/>
        <v>5471601.2761727255</v>
      </c>
      <c r="J27" s="54">
        <v>0.0005</v>
      </c>
      <c r="K27" s="2">
        <f t="shared" si="4"/>
        <v>1858359.4311380864</v>
      </c>
      <c r="L27" s="48">
        <v>0</v>
      </c>
      <c r="M27" s="2">
        <f t="shared" si="5"/>
        <v>7329960.707310812</v>
      </c>
      <c r="N27" s="2">
        <f t="shared" si="6"/>
        <v>2440531.4101038356</v>
      </c>
      <c r="O27" s="52">
        <f t="shared" si="7"/>
        <v>4889429.2972069755</v>
      </c>
      <c r="P27" s="15"/>
      <c r="Q27" s="16"/>
    </row>
    <row r="28" spans="1:17" ht="12.75">
      <c r="A28" s="46" t="s">
        <v>11</v>
      </c>
      <c r="B28" s="47">
        <f t="shared" si="1"/>
        <v>4699619687</v>
      </c>
      <c r="C28" s="2">
        <v>3334161426</v>
      </c>
      <c r="D28" s="48">
        <v>0</v>
      </c>
      <c r="E28" s="2">
        <f t="shared" si="2"/>
        <v>8033781113</v>
      </c>
      <c r="F28" s="2">
        <v>1567899900</v>
      </c>
      <c r="G28" s="49">
        <f t="shared" si="3"/>
        <v>0.1951633829633317</v>
      </c>
      <c r="H28" s="50">
        <f t="shared" si="0"/>
        <v>6465881213</v>
      </c>
      <c r="I28" s="2">
        <f t="shared" si="8"/>
        <v>4889429.2972069755</v>
      </c>
      <c r="J28" s="54">
        <v>0.002</v>
      </c>
      <c r="K28" s="2">
        <f t="shared" si="4"/>
        <v>9409018.232594414</v>
      </c>
      <c r="L28" s="48">
        <v>0</v>
      </c>
      <c r="M28" s="2">
        <f t="shared" si="5"/>
        <v>14298447.52980139</v>
      </c>
      <c r="N28" s="2">
        <f t="shared" si="6"/>
        <v>2790533.3910397324</v>
      </c>
      <c r="O28" s="52">
        <f t="shared" si="7"/>
        <v>11507914.138761656</v>
      </c>
      <c r="P28" s="15"/>
      <c r="Q28" s="16"/>
    </row>
    <row r="29" spans="1:17" ht="13.5" thickBot="1">
      <c r="A29" s="46" t="s">
        <v>12</v>
      </c>
      <c r="B29" s="55">
        <f t="shared" si="1"/>
        <v>6465881213</v>
      </c>
      <c r="C29" s="3">
        <v>3334161426</v>
      </c>
      <c r="D29" s="61">
        <v>0</v>
      </c>
      <c r="E29" s="4">
        <f t="shared" si="2"/>
        <v>9800042639</v>
      </c>
      <c r="F29" s="4">
        <v>2675497866</v>
      </c>
      <c r="G29" s="70">
        <f t="shared" si="3"/>
        <v>0.27300879848753484</v>
      </c>
      <c r="H29" s="58">
        <f t="shared" si="0"/>
        <v>7124544773</v>
      </c>
      <c r="I29" s="59">
        <f t="shared" si="8"/>
        <v>11507914.138761656</v>
      </c>
      <c r="J29" s="60">
        <v>0.0025</v>
      </c>
      <c r="K29" s="4">
        <f t="shared" si="4"/>
        <v>16193472.817846904</v>
      </c>
      <c r="L29" s="61">
        <v>0</v>
      </c>
      <c r="M29" s="4">
        <f t="shared" si="5"/>
        <v>27701386.95660856</v>
      </c>
      <c r="N29" s="4">
        <f t="shared" si="6"/>
        <v>7562722.369461972</v>
      </c>
      <c r="O29" s="62">
        <f t="shared" si="7"/>
        <v>20138664.587146588</v>
      </c>
      <c r="P29" s="15"/>
      <c r="Q29" s="16"/>
    </row>
    <row r="30" spans="1:17" ht="13.5" thickBot="1">
      <c r="A30" s="15"/>
      <c r="B30" s="15"/>
      <c r="C30" s="18"/>
      <c r="D30" s="71" t="s">
        <v>62</v>
      </c>
      <c r="E30" s="72"/>
      <c r="F30" s="65">
        <f>SUM(F18:F29)</f>
        <v>33120680989</v>
      </c>
      <c r="G30" s="64"/>
      <c r="H30" s="64"/>
      <c r="I30" s="64"/>
      <c r="J30" s="64"/>
      <c r="K30" s="65">
        <f>SUM(K18:K29)</f>
        <v>141140443.66228083</v>
      </c>
      <c r="L30" s="64"/>
      <c r="M30" s="64"/>
      <c r="N30" s="65">
        <f>SUM(N18:N29)</f>
        <v>142358568.07513425</v>
      </c>
      <c r="O30" s="66"/>
      <c r="P30" s="15"/>
      <c r="Q30" s="16"/>
    </row>
    <row r="31" spans="1:17" ht="12.75">
      <c r="A31" s="15"/>
      <c r="B31" s="15"/>
      <c r="C31" s="15"/>
      <c r="D31" s="15"/>
      <c r="E31" s="15"/>
      <c r="F31" s="15"/>
      <c r="G31" s="15"/>
      <c r="H31" s="15"/>
      <c r="I31" s="15"/>
      <c r="J31" s="15"/>
      <c r="K31" s="15"/>
      <c r="L31" s="15"/>
      <c r="M31" s="15"/>
      <c r="N31" s="15"/>
      <c r="O31" s="15"/>
      <c r="P31" s="15"/>
      <c r="Q31" s="16"/>
    </row>
    <row r="32" spans="1:3" ht="12.75">
      <c r="A32" s="78" t="s">
        <v>92</v>
      </c>
      <c r="B32" s="78"/>
      <c r="C32" s="78"/>
    </row>
    <row r="33" ht="12.75"/>
    <row r="34" ht="12.75">
      <c r="A34" s="67" t="s">
        <v>15</v>
      </c>
    </row>
    <row r="35" ht="12.75">
      <c r="A35" s="68" t="s">
        <v>16</v>
      </c>
    </row>
    <row r="36" ht="12.75"/>
    <row r="37" ht="12.75"/>
    <row r="38" ht="12.75"/>
    <row r="39" ht="12.75"/>
  </sheetData>
  <mergeCells count="10">
    <mergeCell ref="A32:C32"/>
    <mergeCell ref="F14:G14"/>
    <mergeCell ref="I11:O11"/>
    <mergeCell ref="A5:O5"/>
    <mergeCell ref="A7:O7"/>
    <mergeCell ref="A9:O9"/>
    <mergeCell ref="B11:H11"/>
    <mergeCell ref="A6:O6"/>
    <mergeCell ref="F12:G12"/>
    <mergeCell ref="F13:G13"/>
  </mergeCells>
  <hyperlinks>
    <hyperlink ref="A35" r:id="rId1" display="www.actualicese.com"/>
    <hyperlink ref="A32" location="'resumen comparativo'!A1" display="Volver al resumen comparativo"/>
  </hyperlinks>
  <printOptions horizontalCentered="1" verticalCentered="1"/>
  <pageMargins left="0.34" right="0.5905511811023623" top="0.7874015748031497" bottom="0.7874015748031497" header="0" footer="0"/>
  <pageSetup fitToHeight="1" fitToWidth="1" horizontalDpi="600" verticalDpi="600" orientation="landscape" scale="64" r:id="rId5"/>
  <headerFooter alignWithMargins="0">
    <oddHeader>&amp;Lhttp://www.actualicese.com/herramientas</oddHeader>
    <oddFooter>&amp;Ractualicese.com
El Portal de los Contadores Públicos</oddFooter>
  </headerFooter>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5:Q36"/>
  <sheetViews>
    <sheetView showGridLines="0" workbookViewId="0" topLeftCell="A1">
      <selection activeCell="A32" sqref="A32:C32"/>
    </sheetView>
  </sheetViews>
  <sheetFormatPr defaultColWidth="11.00390625" defaultRowHeight="12.75"/>
  <cols>
    <col min="1" max="1" width="11.00390625" style="12" customWidth="1"/>
    <col min="2" max="2" width="13.375" style="12" customWidth="1"/>
    <col min="3" max="3" width="12.75390625" style="12" customWidth="1"/>
    <col min="4" max="4" width="15.375" style="12" customWidth="1"/>
    <col min="5" max="5" width="13.125" style="12" customWidth="1"/>
    <col min="6" max="6" width="13.25390625" style="12" bestFit="1" customWidth="1"/>
    <col min="7" max="7" width="12.375" style="12" customWidth="1"/>
    <col min="8" max="8" width="12.375" style="12" bestFit="1" customWidth="1"/>
    <col min="9" max="9" width="12.375" style="12" customWidth="1"/>
    <col min="10" max="10" width="11.00390625" style="12" customWidth="1"/>
    <col min="11" max="11" width="12.375" style="12" bestFit="1" customWidth="1"/>
    <col min="12" max="12" width="14.875" style="12" bestFit="1" customWidth="1"/>
    <col min="13" max="13" width="12.375" style="12" bestFit="1" customWidth="1"/>
    <col min="14" max="14" width="14.25390625" style="12" customWidth="1"/>
    <col min="15" max="15" width="12.75390625" style="12" customWidth="1"/>
    <col min="16" max="16" width="11.00390625" style="12" customWidth="1"/>
    <col min="17" max="17" width="14.125" style="13" bestFit="1" customWidth="1"/>
    <col min="18" max="16384" width="11.00390625" style="12" customWidth="1"/>
  </cols>
  <sheetData>
    <row r="1" ht="12.75"/>
    <row r="2" ht="12.75"/>
    <row r="3" ht="12.75"/>
    <row r="4" ht="12.75"/>
    <row r="5" spans="1:15" ht="48" customHeight="1">
      <c r="A5" s="85" t="s">
        <v>19</v>
      </c>
      <c r="B5" s="85"/>
      <c r="C5" s="85"/>
      <c r="D5" s="85"/>
      <c r="E5" s="85"/>
      <c r="F5" s="85"/>
      <c r="G5" s="85"/>
      <c r="H5" s="85"/>
      <c r="I5" s="85"/>
      <c r="J5" s="85"/>
      <c r="K5" s="85"/>
      <c r="L5" s="85"/>
      <c r="M5" s="85"/>
      <c r="N5" s="85"/>
      <c r="O5" s="85"/>
    </row>
    <row r="6" spans="1:15" ht="18" customHeight="1">
      <c r="A6" s="85" t="s">
        <v>86</v>
      </c>
      <c r="B6" s="85"/>
      <c r="C6" s="85"/>
      <c r="D6" s="85"/>
      <c r="E6" s="85"/>
      <c r="F6" s="85"/>
      <c r="G6" s="85"/>
      <c r="H6" s="85"/>
      <c r="I6" s="85"/>
      <c r="J6" s="85"/>
      <c r="K6" s="85"/>
      <c r="L6" s="85"/>
      <c r="M6" s="85"/>
      <c r="N6" s="85"/>
      <c r="O6" s="85"/>
    </row>
    <row r="7" spans="1:15" ht="18">
      <c r="A7" s="86" t="s">
        <v>17</v>
      </c>
      <c r="B7" s="86"/>
      <c r="C7" s="86"/>
      <c r="D7" s="86"/>
      <c r="E7" s="86"/>
      <c r="F7" s="86"/>
      <c r="G7" s="86"/>
      <c r="H7" s="86"/>
      <c r="I7" s="86"/>
      <c r="J7" s="86"/>
      <c r="K7" s="86"/>
      <c r="L7" s="86"/>
      <c r="M7" s="86"/>
      <c r="N7" s="86"/>
      <c r="O7" s="86"/>
    </row>
    <row r="8" spans="1:15" ht="12.75">
      <c r="A8" s="14"/>
      <c r="B8" s="14"/>
      <c r="C8" s="14"/>
      <c r="D8" s="14"/>
      <c r="E8" s="14"/>
      <c r="F8" s="14"/>
      <c r="G8" s="14"/>
      <c r="H8" s="14"/>
      <c r="I8" s="14"/>
      <c r="J8" s="14"/>
      <c r="K8" s="14"/>
      <c r="L8" s="14"/>
      <c r="M8" s="14"/>
      <c r="N8" s="14"/>
      <c r="O8" s="14"/>
    </row>
    <row r="9" spans="1:17" ht="14.25">
      <c r="A9" s="87" t="s">
        <v>93</v>
      </c>
      <c r="B9" s="87"/>
      <c r="C9" s="87"/>
      <c r="D9" s="87"/>
      <c r="E9" s="87"/>
      <c r="F9" s="87"/>
      <c r="G9" s="87"/>
      <c r="H9" s="87"/>
      <c r="I9" s="87"/>
      <c r="J9" s="87"/>
      <c r="K9" s="87"/>
      <c r="L9" s="87"/>
      <c r="M9" s="87"/>
      <c r="N9" s="87"/>
      <c r="O9" s="87"/>
      <c r="P9" s="15"/>
      <c r="Q9" s="16"/>
    </row>
    <row r="10" spans="1:17" ht="13.5" thickBot="1">
      <c r="A10" s="15"/>
      <c r="B10" s="15"/>
      <c r="C10" s="15"/>
      <c r="D10" s="15"/>
      <c r="E10" s="15"/>
      <c r="F10" s="17"/>
      <c r="G10" s="17"/>
      <c r="H10" s="15"/>
      <c r="I10" s="15"/>
      <c r="J10" s="15"/>
      <c r="K10" s="15"/>
      <c r="L10" s="15"/>
      <c r="M10" s="18" t="s">
        <v>0</v>
      </c>
      <c r="N10" s="15"/>
      <c r="O10" s="15"/>
      <c r="P10" s="15"/>
      <c r="Q10" s="16"/>
    </row>
    <row r="11" spans="1:17" ht="13.5" thickBot="1">
      <c r="A11" s="15"/>
      <c r="B11" s="88" t="s">
        <v>18</v>
      </c>
      <c r="C11" s="89"/>
      <c r="D11" s="89"/>
      <c r="E11" s="89"/>
      <c r="F11" s="89"/>
      <c r="G11" s="89"/>
      <c r="H11" s="89"/>
      <c r="I11" s="81" t="s">
        <v>13</v>
      </c>
      <c r="J11" s="82"/>
      <c r="K11" s="83"/>
      <c r="L11" s="83"/>
      <c r="M11" s="83"/>
      <c r="N11" s="83"/>
      <c r="O11" s="84"/>
      <c r="P11" s="15"/>
      <c r="Q11" s="19">
        <f>+K18/5465396697</f>
        <v>0.0024560461537527804</v>
      </c>
    </row>
    <row r="12" spans="1:17" ht="12.75">
      <c r="A12" s="20"/>
      <c r="B12" s="21" t="s">
        <v>20</v>
      </c>
      <c r="C12" s="22" t="s">
        <v>23</v>
      </c>
      <c r="D12" s="22" t="s">
        <v>23</v>
      </c>
      <c r="E12" s="22" t="s">
        <v>26</v>
      </c>
      <c r="F12" s="91" t="s">
        <v>29</v>
      </c>
      <c r="G12" s="92"/>
      <c r="H12" s="23" t="s">
        <v>41</v>
      </c>
      <c r="I12" s="24" t="s">
        <v>35</v>
      </c>
      <c r="J12" s="25" t="s">
        <v>45</v>
      </c>
      <c r="K12" s="26" t="s">
        <v>37</v>
      </c>
      <c r="L12" s="22" t="s">
        <v>43</v>
      </c>
      <c r="M12" s="22" t="s">
        <v>26</v>
      </c>
      <c r="N12" s="22" t="s">
        <v>51</v>
      </c>
      <c r="O12" s="27" t="s">
        <v>57</v>
      </c>
      <c r="P12" s="28"/>
      <c r="Q12" s="29">
        <f>+Q11*F18</f>
        <v>12280230.768763902</v>
      </c>
    </row>
    <row r="13" spans="1:17" ht="12.75">
      <c r="A13" s="30"/>
      <c r="B13" s="21" t="s">
        <v>21</v>
      </c>
      <c r="C13" s="22" t="s">
        <v>24</v>
      </c>
      <c r="D13" s="22" t="s">
        <v>40</v>
      </c>
      <c r="E13" s="22" t="s">
        <v>27</v>
      </c>
      <c r="F13" s="93" t="s">
        <v>30</v>
      </c>
      <c r="G13" s="94"/>
      <c r="H13" s="23" t="s">
        <v>42</v>
      </c>
      <c r="I13" s="24"/>
      <c r="J13" s="22" t="s">
        <v>46</v>
      </c>
      <c r="K13" s="26" t="s">
        <v>38</v>
      </c>
      <c r="L13" s="22" t="s">
        <v>44</v>
      </c>
      <c r="M13" s="22" t="s">
        <v>48</v>
      </c>
      <c r="N13" s="22" t="s">
        <v>52</v>
      </c>
      <c r="O13" s="27" t="s">
        <v>55</v>
      </c>
      <c r="P13" s="28"/>
      <c r="Q13" s="29"/>
    </row>
    <row r="14" spans="1:17" ht="13.5" thickBot="1">
      <c r="A14" s="30"/>
      <c r="B14" s="21" t="s">
        <v>22</v>
      </c>
      <c r="C14" s="22" t="s">
        <v>25</v>
      </c>
      <c r="D14" s="22" t="s">
        <v>32</v>
      </c>
      <c r="E14" s="22" t="s">
        <v>28</v>
      </c>
      <c r="F14" s="79" t="s">
        <v>31</v>
      </c>
      <c r="G14" s="80"/>
      <c r="H14" s="23"/>
      <c r="I14" s="24"/>
      <c r="J14" s="22" t="s">
        <v>47</v>
      </c>
      <c r="K14" s="26" t="s">
        <v>39</v>
      </c>
      <c r="L14" s="22" t="s">
        <v>32</v>
      </c>
      <c r="M14" s="22" t="s">
        <v>49</v>
      </c>
      <c r="N14" s="22" t="s">
        <v>53</v>
      </c>
      <c r="O14" s="27" t="s">
        <v>56</v>
      </c>
      <c r="P14" s="28"/>
      <c r="Q14" s="29"/>
    </row>
    <row r="15" spans="1:17" ht="12.75">
      <c r="A15" s="30"/>
      <c r="B15" s="21"/>
      <c r="C15" s="22"/>
      <c r="D15" s="22" t="s">
        <v>33</v>
      </c>
      <c r="E15" s="22"/>
      <c r="F15" s="31"/>
      <c r="G15" s="31" t="s">
        <v>36</v>
      </c>
      <c r="H15" s="23"/>
      <c r="I15" s="24"/>
      <c r="J15" s="22"/>
      <c r="K15" s="26"/>
      <c r="L15" s="22" t="s">
        <v>33</v>
      </c>
      <c r="M15" s="22" t="s">
        <v>50</v>
      </c>
      <c r="N15" s="22" t="s">
        <v>54</v>
      </c>
      <c r="O15" s="27" t="s">
        <v>50</v>
      </c>
      <c r="P15" s="28"/>
      <c r="Q15" s="29"/>
    </row>
    <row r="16" spans="1:17" ht="13.5" thickBot="1">
      <c r="A16" s="32" t="s">
        <v>14</v>
      </c>
      <c r="B16" s="33"/>
      <c r="C16" s="34"/>
      <c r="D16" s="34"/>
      <c r="E16" s="34"/>
      <c r="F16" s="35" t="s">
        <v>34</v>
      </c>
      <c r="G16" s="35" t="s">
        <v>60</v>
      </c>
      <c r="H16" s="36"/>
      <c r="I16" s="37"/>
      <c r="J16" s="34"/>
      <c r="K16" s="38"/>
      <c r="L16" s="34"/>
      <c r="M16" s="34"/>
      <c r="N16" s="34"/>
      <c r="O16" s="39" t="s">
        <v>58</v>
      </c>
      <c r="P16" s="28"/>
      <c r="Q16" s="40"/>
    </row>
    <row r="17" spans="1:17" ht="12.75">
      <c r="A17" s="41"/>
      <c r="B17" s="42"/>
      <c r="C17" s="1"/>
      <c r="D17" s="1"/>
      <c r="E17" s="1"/>
      <c r="F17" s="1"/>
      <c r="G17" s="41"/>
      <c r="H17" s="43"/>
      <c r="I17" s="44"/>
      <c r="J17" s="1"/>
      <c r="K17" s="1"/>
      <c r="L17" s="1"/>
      <c r="M17" s="1"/>
      <c r="N17" s="1"/>
      <c r="O17" s="45"/>
      <c r="P17" s="15"/>
      <c r="Q17" s="16"/>
    </row>
    <row r="18" spans="1:17" ht="12.75">
      <c r="A18" s="46" t="s">
        <v>1</v>
      </c>
      <c r="B18" s="47">
        <v>3707328360</v>
      </c>
      <c r="C18" s="2">
        <v>1758068337</v>
      </c>
      <c r="D18" s="48">
        <v>0</v>
      </c>
      <c r="E18" s="2">
        <f>+B18+C18</f>
        <v>5465396697</v>
      </c>
      <c r="F18" s="2">
        <v>5000000000</v>
      </c>
      <c r="G18" s="49" t="str">
        <f>IF(F18&lt;=B18,F18/B18,"Mas del 100%")</f>
        <v>Mas del 100%</v>
      </c>
      <c r="H18" s="50">
        <f aca="true" t="shared" si="0" ref="H18:H29">+B18+C18-F18</f>
        <v>465396697</v>
      </c>
      <c r="I18" s="2">
        <v>21356789</v>
      </c>
      <c r="J18" s="51">
        <v>0.0036</v>
      </c>
      <c r="K18" s="2">
        <f>(+B18+I18)*J18</f>
        <v>13423266.5364</v>
      </c>
      <c r="L18" s="48">
        <v>0</v>
      </c>
      <c r="M18" s="2">
        <f>+I18+K18+L18</f>
        <v>34780055.5364</v>
      </c>
      <c r="N18" s="2">
        <f>IF(F18&lt;=B18,M18*G18,M18)</f>
        <v>34780055.5364</v>
      </c>
      <c r="O18" s="52">
        <f>+M18-N18</f>
        <v>0</v>
      </c>
      <c r="P18" s="15"/>
      <c r="Q18" s="53">
        <f>+B18-F18</f>
        <v>-1292671640</v>
      </c>
    </row>
    <row r="19" spans="1:17" ht="12.75">
      <c r="A19" s="46" t="s">
        <v>2</v>
      </c>
      <c r="B19" s="47">
        <f aca="true" t="shared" si="1" ref="B19:B29">+H18</f>
        <v>465396697</v>
      </c>
      <c r="C19" s="2">
        <v>2864704707</v>
      </c>
      <c r="D19" s="48">
        <v>0</v>
      </c>
      <c r="E19" s="2">
        <f aca="true" t="shared" si="2" ref="E19:E29">+B19+C19</f>
        <v>3330101404</v>
      </c>
      <c r="F19" s="2">
        <v>400000000</v>
      </c>
      <c r="G19" s="49">
        <f aca="true" t="shared" si="3" ref="G19:G29">IF(F19&lt;=B19,F19/B19,"Mas del 100%")</f>
        <v>0.8594818196571773</v>
      </c>
      <c r="H19" s="50">
        <f t="shared" si="0"/>
        <v>2930101404</v>
      </c>
      <c r="I19" s="2">
        <f>+O18</f>
        <v>0</v>
      </c>
      <c r="J19" s="54">
        <v>0.0083</v>
      </c>
      <c r="K19" s="2">
        <f aca="true" t="shared" si="4" ref="K19:K29">(+B19+O18)*J19</f>
        <v>3862792.5851000003</v>
      </c>
      <c r="L19" s="48">
        <v>0</v>
      </c>
      <c r="M19" s="2">
        <f aca="true" t="shared" si="5" ref="M19:M29">+I19+K19+L19</f>
        <v>3862792.5851000003</v>
      </c>
      <c r="N19" s="2">
        <f aca="true" t="shared" si="6" ref="N19:N29">IF(F19&lt;=B19,M19*G19,M19)</f>
        <v>3320000</v>
      </c>
      <c r="O19" s="52">
        <f aca="true" t="shared" si="7" ref="O19:O29">+M19-N19</f>
        <v>542792.5851000003</v>
      </c>
      <c r="P19" s="15"/>
      <c r="Q19" s="53">
        <f>+M18-N18</f>
        <v>0</v>
      </c>
    </row>
    <row r="20" spans="1:17" ht="12.75">
      <c r="A20" s="46" t="s">
        <v>3</v>
      </c>
      <c r="B20" s="47">
        <f t="shared" si="1"/>
        <v>2930101404</v>
      </c>
      <c r="C20" s="2">
        <v>3321372327</v>
      </c>
      <c r="D20" s="48">
        <v>0</v>
      </c>
      <c r="E20" s="2">
        <f t="shared" si="2"/>
        <v>6251473731</v>
      </c>
      <c r="F20" s="2">
        <v>2949792043</v>
      </c>
      <c r="G20" s="49" t="str">
        <f t="shared" si="3"/>
        <v>Mas del 100%</v>
      </c>
      <c r="H20" s="50">
        <f t="shared" si="0"/>
        <v>3301681688</v>
      </c>
      <c r="I20" s="2">
        <f aca="true" t="shared" si="8" ref="I20:I29">+O19</f>
        <v>542792.5851000003</v>
      </c>
      <c r="J20" s="54">
        <v>0.0093</v>
      </c>
      <c r="K20" s="2">
        <f t="shared" si="4"/>
        <v>27254991.02824143</v>
      </c>
      <c r="L20" s="48">
        <v>0</v>
      </c>
      <c r="M20" s="2">
        <f t="shared" si="5"/>
        <v>27797783.61334143</v>
      </c>
      <c r="N20" s="2">
        <f t="shared" si="6"/>
        <v>27797783.61334143</v>
      </c>
      <c r="O20" s="52">
        <f t="shared" si="7"/>
        <v>0</v>
      </c>
      <c r="P20" s="15"/>
      <c r="Q20" s="53">
        <f>+C18</f>
        <v>1758068337</v>
      </c>
    </row>
    <row r="21" spans="1:17" ht="12.75">
      <c r="A21" s="46" t="s">
        <v>4</v>
      </c>
      <c r="B21" s="47">
        <f t="shared" si="1"/>
        <v>3301681688</v>
      </c>
      <c r="C21" s="2">
        <v>2650606600</v>
      </c>
      <c r="D21" s="48">
        <v>0</v>
      </c>
      <c r="E21" s="2">
        <f t="shared" si="2"/>
        <v>5952288288</v>
      </c>
      <c r="F21" s="2">
        <v>2808838302</v>
      </c>
      <c r="G21" s="49">
        <f t="shared" si="3"/>
        <v>0.8507295879577838</v>
      </c>
      <c r="H21" s="50">
        <f t="shared" si="0"/>
        <v>3143449986</v>
      </c>
      <c r="I21" s="2">
        <f t="shared" si="8"/>
        <v>0</v>
      </c>
      <c r="J21" s="54">
        <v>0.0074</v>
      </c>
      <c r="K21" s="2">
        <f t="shared" si="4"/>
        <v>24432444.4912</v>
      </c>
      <c r="L21" s="48">
        <v>0</v>
      </c>
      <c r="M21" s="2">
        <f t="shared" si="5"/>
        <v>24432444.4912</v>
      </c>
      <c r="N21" s="2">
        <f t="shared" si="6"/>
        <v>20785403.4348</v>
      </c>
      <c r="O21" s="52">
        <f t="shared" si="7"/>
        <v>3647041.056400001</v>
      </c>
      <c r="P21" s="15"/>
      <c r="Q21" s="53">
        <f>+H18+O18</f>
        <v>465396697</v>
      </c>
    </row>
    <row r="22" spans="1:17" ht="12.75">
      <c r="A22" s="46" t="s">
        <v>5</v>
      </c>
      <c r="B22" s="47">
        <f t="shared" si="1"/>
        <v>3143449986</v>
      </c>
      <c r="C22" s="2">
        <v>3116695803</v>
      </c>
      <c r="D22" s="48">
        <v>0</v>
      </c>
      <c r="E22" s="2">
        <f t="shared" si="2"/>
        <v>6260145789</v>
      </c>
      <c r="F22" s="2">
        <v>2841995418</v>
      </c>
      <c r="G22" s="49">
        <f t="shared" si="3"/>
        <v>0.9041007271174697</v>
      </c>
      <c r="H22" s="50">
        <f t="shared" si="0"/>
        <v>3418150371</v>
      </c>
      <c r="I22" s="2">
        <f t="shared" si="8"/>
        <v>3647041.056400001</v>
      </c>
      <c r="J22" s="54">
        <v>0.0047</v>
      </c>
      <c r="K22" s="2">
        <f t="shared" si="4"/>
        <v>14791356.02716508</v>
      </c>
      <c r="L22" s="48">
        <v>0</v>
      </c>
      <c r="M22" s="2">
        <f t="shared" si="5"/>
        <v>18438397.08356508</v>
      </c>
      <c r="N22" s="2">
        <f t="shared" si="6"/>
        <v>16670168.21013182</v>
      </c>
      <c r="O22" s="52">
        <f t="shared" si="7"/>
        <v>1768228.8734332584</v>
      </c>
      <c r="P22" s="15"/>
      <c r="Q22" s="53">
        <f>+Q18+Q19+Q20-Q21</f>
        <v>0</v>
      </c>
    </row>
    <row r="23" spans="1:17" ht="12.75">
      <c r="A23" s="46" t="s">
        <v>6</v>
      </c>
      <c r="B23" s="47">
        <f t="shared" si="1"/>
        <v>3418150371</v>
      </c>
      <c r="C23" s="2">
        <v>2673588590</v>
      </c>
      <c r="D23" s="48">
        <v>0</v>
      </c>
      <c r="E23" s="2">
        <f t="shared" si="2"/>
        <v>6091738961</v>
      </c>
      <c r="F23" s="2">
        <v>3008020105</v>
      </c>
      <c r="G23" s="49">
        <f t="shared" si="3"/>
        <v>0.8800139778871068</v>
      </c>
      <c r="H23" s="50">
        <f t="shared" si="0"/>
        <v>3083718856</v>
      </c>
      <c r="I23" s="2">
        <f t="shared" si="8"/>
        <v>1768228.8734332584</v>
      </c>
      <c r="J23" s="54">
        <v>0.0042</v>
      </c>
      <c r="K23" s="2">
        <f t="shared" si="4"/>
        <v>14363658.119468419</v>
      </c>
      <c r="L23" s="48">
        <v>0</v>
      </c>
      <c r="M23" s="2">
        <f t="shared" si="5"/>
        <v>16131886.992901677</v>
      </c>
      <c r="N23" s="2">
        <f t="shared" si="6"/>
        <v>14196286.043448683</v>
      </c>
      <c r="O23" s="52">
        <f t="shared" si="7"/>
        <v>1935600.9494529944</v>
      </c>
      <c r="P23" s="15"/>
      <c r="Q23" s="16"/>
    </row>
    <row r="24" spans="1:17" ht="12.75">
      <c r="A24" s="46" t="s">
        <v>7</v>
      </c>
      <c r="B24" s="47">
        <f t="shared" si="1"/>
        <v>3083718856</v>
      </c>
      <c r="C24" s="2">
        <v>3482053908</v>
      </c>
      <c r="D24" s="48">
        <v>0</v>
      </c>
      <c r="E24" s="2">
        <f t="shared" si="2"/>
        <v>6565772764</v>
      </c>
      <c r="F24" s="2">
        <v>3062069662</v>
      </c>
      <c r="G24" s="49">
        <f t="shared" si="3"/>
        <v>0.9929795175854385</v>
      </c>
      <c r="H24" s="50">
        <f t="shared" si="0"/>
        <v>3503703102</v>
      </c>
      <c r="I24" s="2">
        <f t="shared" si="8"/>
        <v>1935600.9494529944</v>
      </c>
      <c r="J24" s="54">
        <v>0.0042</v>
      </c>
      <c r="K24" s="2">
        <f t="shared" si="4"/>
        <v>12959748.719187701</v>
      </c>
      <c r="L24" s="48">
        <v>0</v>
      </c>
      <c r="M24" s="2">
        <f t="shared" si="5"/>
        <v>14895349.668640696</v>
      </c>
      <c r="N24" s="2">
        <f t="shared" si="6"/>
        <v>14790777.128233258</v>
      </c>
      <c r="O24" s="52">
        <f t="shared" si="7"/>
        <v>104572.54040743783</v>
      </c>
      <c r="P24" s="15"/>
      <c r="Q24" s="16"/>
    </row>
    <row r="25" spans="1:17" ht="12.75">
      <c r="A25" s="46" t="s">
        <v>8</v>
      </c>
      <c r="B25" s="47">
        <f t="shared" si="1"/>
        <v>3503703102</v>
      </c>
      <c r="C25" s="2">
        <v>3334161426</v>
      </c>
      <c r="D25" s="48">
        <v>0</v>
      </c>
      <c r="E25" s="2">
        <f t="shared" si="2"/>
        <v>6837864528</v>
      </c>
      <c r="F25" s="2">
        <v>3115080248</v>
      </c>
      <c r="G25" s="49">
        <f t="shared" si="3"/>
        <v>0.8890822530658592</v>
      </c>
      <c r="H25" s="50">
        <f t="shared" si="0"/>
        <v>3722784280</v>
      </c>
      <c r="I25" s="2">
        <f t="shared" si="8"/>
        <v>104572.54040743783</v>
      </c>
      <c r="J25" s="54">
        <v>0.0004</v>
      </c>
      <c r="K25" s="2">
        <f t="shared" si="4"/>
        <v>1401523.069816163</v>
      </c>
      <c r="L25" s="48">
        <v>0</v>
      </c>
      <c r="M25" s="2">
        <f t="shared" si="5"/>
        <v>1506095.6102236009</v>
      </c>
      <c r="N25" s="2">
        <f t="shared" si="6"/>
        <v>1339042.8784701992</v>
      </c>
      <c r="O25" s="52">
        <f t="shared" si="7"/>
        <v>167052.7317534017</v>
      </c>
      <c r="P25" s="15"/>
      <c r="Q25" s="16"/>
    </row>
    <row r="26" spans="1:17" ht="12.75">
      <c r="A26" s="46" t="s">
        <v>9</v>
      </c>
      <c r="B26" s="47">
        <f t="shared" si="1"/>
        <v>3722784280</v>
      </c>
      <c r="C26" s="2">
        <v>3334161426</v>
      </c>
      <c r="D26" s="48">
        <v>0</v>
      </c>
      <c r="E26" s="2">
        <f t="shared" si="2"/>
        <v>7056945706</v>
      </c>
      <c r="F26" s="2">
        <v>3345698445</v>
      </c>
      <c r="G26" s="49">
        <f t="shared" si="3"/>
        <v>0.8987086528150914</v>
      </c>
      <c r="H26" s="50">
        <f t="shared" si="0"/>
        <v>3711247261</v>
      </c>
      <c r="I26" s="2">
        <f t="shared" si="8"/>
        <v>167052.7317534017</v>
      </c>
      <c r="J26" s="54">
        <v>0.0002</v>
      </c>
      <c r="K26" s="2">
        <f t="shared" si="4"/>
        <v>744590.2665463507</v>
      </c>
      <c r="L26" s="48">
        <v>0</v>
      </c>
      <c r="M26" s="2">
        <f t="shared" si="5"/>
        <v>911642.9982997524</v>
      </c>
      <c r="N26" s="2">
        <f t="shared" si="6"/>
        <v>819301.450850281</v>
      </c>
      <c r="O26" s="52">
        <f t="shared" si="7"/>
        <v>92341.54744947131</v>
      </c>
      <c r="P26" s="15"/>
      <c r="Q26" s="16"/>
    </row>
    <row r="27" spans="1:17" ht="12.75">
      <c r="A27" s="46" t="s">
        <v>10</v>
      </c>
      <c r="B27" s="47">
        <f>+H26</f>
        <v>3711247261</v>
      </c>
      <c r="C27" s="2">
        <v>3334161426</v>
      </c>
      <c r="D27" s="48">
        <v>0</v>
      </c>
      <c r="E27" s="2">
        <f t="shared" si="2"/>
        <v>7045408687</v>
      </c>
      <c r="F27" s="2">
        <v>2345789000</v>
      </c>
      <c r="G27" s="49">
        <f t="shared" si="3"/>
        <v>0.6320756433156449</v>
      </c>
      <c r="H27" s="50">
        <f t="shared" si="0"/>
        <v>4699619687</v>
      </c>
      <c r="I27" s="2">
        <f t="shared" si="8"/>
        <v>92341.54744947131</v>
      </c>
      <c r="J27" s="54">
        <v>0.0005</v>
      </c>
      <c r="K27" s="2">
        <f t="shared" si="4"/>
        <v>1855669.8012737248</v>
      </c>
      <c r="L27" s="48">
        <v>0</v>
      </c>
      <c r="M27" s="2">
        <f t="shared" si="5"/>
        <v>1948011.348723196</v>
      </c>
      <c r="N27" s="2">
        <f t="shared" si="6"/>
        <v>1231290.5264303912</v>
      </c>
      <c r="O27" s="52">
        <f t="shared" si="7"/>
        <v>716720.8222928047</v>
      </c>
      <c r="P27" s="15"/>
      <c r="Q27" s="16"/>
    </row>
    <row r="28" spans="1:17" ht="12.75">
      <c r="A28" s="46" t="s">
        <v>11</v>
      </c>
      <c r="B28" s="47">
        <f t="shared" si="1"/>
        <v>4699619687</v>
      </c>
      <c r="C28" s="2">
        <v>3334161426</v>
      </c>
      <c r="D28" s="48">
        <v>0</v>
      </c>
      <c r="E28" s="2">
        <f t="shared" si="2"/>
        <v>8033781113</v>
      </c>
      <c r="F28" s="2">
        <v>1567899900</v>
      </c>
      <c r="G28" s="49">
        <f t="shared" si="3"/>
        <v>0.33362271937388793</v>
      </c>
      <c r="H28" s="50">
        <f t="shared" si="0"/>
        <v>6465881213</v>
      </c>
      <c r="I28" s="2">
        <f t="shared" si="8"/>
        <v>716720.8222928047</v>
      </c>
      <c r="J28" s="54">
        <v>0.002</v>
      </c>
      <c r="K28" s="2">
        <f t="shared" si="4"/>
        <v>9400672.815644585</v>
      </c>
      <c r="L28" s="48">
        <v>0</v>
      </c>
      <c r="M28" s="2">
        <f t="shared" si="5"/>
        <v>10117393.63793739</v>
      </c>
      <c r="N28" s="2">
        <f t="shared" si="6"/>
        <v>3375392.378464745</v>
      </c>
      <c r="O28" s="52">
        <f t="shared" si="7"/>
        <v>6742001.259472644</v>
      </c>
      <c r="P28" s="15"/>
      <c r="Q28" s="16"/>
    </row>
    <row r="29" spans="1:17" ht="13.5" thickBot="1">
      <c r="A29" s="46" t="s">
        <v>12</v>
      </c>
      <c r="B29" s="55">
        <f t="shared" si="1"/>
        <v>6465881213</v>
      </c>
      <c r="C29" s="3">
        <v>3334161426</v>
      </c>
      <c r="D29" s="61">
        <v>0</v>
      </c>
      <c r="E29" s="4">
        <f t="shared" si="2"/>
        <v>9800042639</v>
      </c>
      <c r="F29" s="4">
        <v>2675497866</v>
      </c>
      <c r="G29" s="57">
        <f t="shared" si="3"/>
        <v>0.41378704276545764</v>
      </c>
      <c r="H29" s="58">
        <f t="shared" si="0"/>
        <v>7124544773</v>
      </c>
      <c r="I29" s="59">
        <f t="shared" si="8"/>
        <v>6742001.259472644</v>
      </c>
      <c r="J29" s="60">
        <v>0.0025</v>
      </c>
      <c r="K29" s="4">
        <f t="shared" si="4"/>
        <v>16181558.035648683</v>
      </c>
      <c r="L29" s="61">
        <v>0</v>
      </c>
      <c r="M29" s="4">
        <f t="shared" si="5"/>
        <v>22923559.295121327</v>
      </c>
      <c r="N29" s="4">
        <f t="shared" si="6"/>
        <v>9485471.810386872</v>
      </c>
      <c r="O29" s="62">
        <f t="shared" si="7"/>
        <v>13438087.484734455</v>
      </c>
      <c r="P29" s="15"/>
      <c r="Q29" s="16"/>
    </row>
    <row r="30" spans="1:17" ht="13.5" thickBot="1">
      <c r="A30" s="15"/>
      <c r="B30" s="15"/>
      <c r="C30" s="18"/>
      <c r="D30" s="71" t="s">
        <v>62</v>
      </c>
      <c r="E30" s="72"/>
      <c r="F30" s="65">
        <f>SUM(F18:F29)</f>
        <v>33120680989</v>
      </c>
      <c r="G30" s="64"/>
      <c r="H30" s="64"/>
      <c r="I30" s="64"/>
      <c r="J30" s="64"/>
      <c r="K30" s="65">
        <f>SUM(K18:K29)</f>
        <v>140672271.49569213</v>
      </c>
      <c r="L30" s="64"/>
      <c r="M30" s="64"/>
      <c r="N30" s="65">
        <f>SUM(N18:N29)</f>
        <v>148590973.0109577</v>
      </c>
      <c r="O30" s="66"/>
      <c r="P30" s="15"/>
      <c r="Q30" s="16"/>
    </row>
    <row r="31" ht="12.75"/>
    <row r="32" spans="1:3" ht="12.75">
      <c r="A32" s="78" t="s">
        <v>92</v>
      </c>
      <c r="B32" s="78"/>
      <c r="C32" s="78"/>
    </row>
    <row r="33" ht="12.75">
      <c r="A33" s="67"/>
    </row>
    <row r="34" ht="12.75"/>
    <row r="35" ht="12.75">
      <c r="A35" s="67" t="s">
        <v>15</v>
      </c>
    </row>
    <row r="36" ht="12.75">
      <c r="A36" s="68" t="s">
        <v>16</v>
      </c>
    </row>
    <row r="37" ht="12.75"/>
    <row r="38" ht="12.75"/>
  </sheetData>
  <mergeCells count="10">
    <mergeCell ref="A32:C32"/>
    <mergeCell ref="I11:O11"/>
    <mergeCell ref="A5:O5"/>
    <mergeCell ref="A6:O6"/>
    <mergeCell ref="A7:O7"/>
    <mergeCell ref="A9:O9"/>
    <mergeCell ref="F12:G12"/>
    <mergeCell ref="F14:G14"/>
    <mergeCell ref="F13:G13"/>
    <mergeCell ref="B11:H11"/>
  </mergeCells>
  <hyperlinks>
    <hyperlink ref="A36" r:id="rId1" display="www.actualicese.com"/>
    <hyperlink ref="A32" location="'resumen comparativo'!A1" display="Volver al resumen comparativo"/>
  </hyperlinks>
  <printOptions horizontalCentered="1" verticalCentered="1"/>
  <pageMargins left="0.3937007874015748" right="0.3937007874015748" top="0.984251968503937" bottom="0.984251968503937" header="0" footer="0"/>
  <pageSetup fitToHeight="1" fitToWidth="1" orientation="landscape" scale="68" r:id="rId5"/>
  <headerFooter alignWithMargins="0">
    <oddHeader>&amp;Lhttp://www.actualicese.com/herramientas</oddHeader>
    <oddFooter>&amp;Ractualicese.com
El Portal de los Contadores Públicos</oddFooter>
  </headerFooter>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4:Q34"/>
  <sheetViews>
    <sheetView showGridLines="0" workbookViewId="0" topLeftCell="A1">
      <selection activeCell="A9" sqref="A9"/>
    </sheetView>
  </sheetViews>
  <sheetFormatPr defaultColWidth="11.00390625" defaultRowHeight="12.75"/>
  <cols>
    <col min="1" max="1" width="11.00390625" style="12" customWidth="1"/>
    <col min="2" max="6" width="16.50390625" style="12" customWidth="1"/>
    <col min="7" max="7" width="18.625" style="12" customWidth="1"/>
    <col min="8" max="8" width="13.25390625" style="12" customWidth="1"/>
    <col min="9" max="9" width="13.125" style="12" customWidth="1"/>
    <col min="10" max="10" width="11.00390625" style="12" customWidth="1"/>
    <col min="11" max="11" width="13.00390625" style="12" customWidth="1"/>
    <col min="12" max="12" width="15.75390625" style="12" customWidth="1"/>
    <col min="13" max="13" width="13.50390625" style="12" customWidth="1"/>
    <col min="14" max="14" width="15.125" style="12" customWidth="1"/>
    <col min="15" max="15" width="13.875" style="12" customWidth="1"/>
    <col min="16" max="16" width="11.00390625" style="12" customWidth="1"/>
    <col min="17" max="17" width="14.125" style="13" bestFit="1" customWidth="1"/>
    <col min="18" max="16384" width="11.00390625" style="12" customWidth="1"/>
  </cols>
  <sheetData>
    <row r="1" ht="12.75"/>
    <row r="2" ht="12.75"/>
    <row r="3" ht="12.75"/>
    <row r="4" spans="1:15" ht="48" customHeight="1">
      <c r="A4" s="85" t="s">
        <v>19</v>
      </c>
      <c r="B4" s="85"/>
      <c r="C4" s="85"/>
      <c r="D4" s="85"/>
      <c r="E4" s="85"/>
      <c r="F4" s="85"/>
      <c r="G4" s="85"/>
      <c r="H4" s="85"/>
      <c r="I4" s="85"/>
      <c r="J4" s="85"/>
      <c r="K4" s="85"/>
      <c r="L4" s="85"/>
      <c r="M4" s="85"/>
      <c r="N4" s="85"/>
      <c r="O4" s="85"/>
    </row>
    <row r="5" spans="1:15" ht="18" customHeight="1">
      <c r="A5" s="85" t="s">
        <v>87</v>
      </c>
      <c r="B5" s="85"/>
      <c r="C5" s="85"/>
      <c r="D5" s="85"/>
      <c r="E5" s="85"/>
      <c r="F5" s="85"/>
      <c r="G5" s="85"/>
      <c r="H5" s="85"/>
      <c r="I5" s="85"/>
      <c r="J5" s="85"/>
      <c r="K5" s="85"/>
      <c r="L5" s="85"/>
      <c r="M5" s="85"/>
      <c r="N5" s="85"/>
      <c r="O5" s="85"/>
    </row>
    <row r="6" spans="1:15" ht="18">
      <c r="A6" s="86" t="s">
        <v>17</v>
      </c>
      <c r="B6" s="86"/>
      <c r="C6" s="86"/>
      <c r="D6" s="86"/>
      <c r="E6" s="86"/>
      <c r="F6" s="86"/>
      <c r="G6" s="86"/>
      <c r="H6" s="86"/>
      <c r="I6" s="86"/>
      <c r="J6" s="86"/>
      <c r="K6" s="86"/>
      <c r="L6" s="86"/>
      <c r="M6" s="86"/>
      <c r="N6" s="86"/>
      <c r="O6" s="86"/>
    </row>
    <row r="7" spans="1:15" ht="12.75">
      <c r="A7" s="14"/>
      <c r="B7" s="14"/>
      <c r="C7" s="14"/>
      <c r="D7" s="14"/>
      <c r="E7" s="14"/>
      <c r="F7" s="14"/>
      <c r="G7" s="14"/>
      <c r="H7" s="14"/>
      <c r="I7" s="14"/>
      <c r="J7" s="14"/>
      <c r="K7" s="14"/>
      <c r="L7" s="14"/>
      <c r="M7" s="14"/>
      <c r="N7" s="14"/>
      <c r="O7" s="14"/>
    </row>
    <row r="8" spans="1:17" ht="14.25">
      <c r="A8" s="87" t="s">
        <v>93</v>
      </c>
      <c r="B8" s="87"/>
      <c r="C8" s="87"/>
      <c r="D8" s="87"/>
      <c r="E8" s="87"/>
      <c r="F8" s="87"/>
      <c r="G8" s="87"/>
      <c r="H8" s="87"/>
      <c r="I8" s="87"/>
      <c r="J8" s="87"/>
      <c r="K8" s="87"/>
      <c r="L8" s="87"/>
      <c r="M8" s="87"/>
      <c r="N8" s="87"/>
      <c r="O8" s="87"/>
      <c r="P8" s="15"/>
      <c r="Q8" s="16"/>
    </row>
    <row r="9" spans="1:17" ht="13.5" thickBot="1">
      <c r="A9" s="15"/>
      <c r="B9" s="15"/>
      <c r="C9" s="15"/>
      <c r="D9" s="15"/>
      <c r="E9" s="15"/>
      <c r="F9" s="17"/>
      <c r="G9" s="17"/>
      <c r="H9" s="15"/>
      <c r="I9" s="15"/>
      <c r="J9" s="15"/>
      <c r="K9" s="15"/>
      <c r="L9" s="15"/>
      <c r="M9" s="18" t="s">
        <v>0</v>
      </c>
      <c r="N9" s="15"/>
      <c r="O9" s="15"/>
      <c r="P9" s="15"/>
      <c r="Q9" s="16"/>
    </row>
    <row r="10" spans="1:17" ht="13.5" thickBot="1">
      <c r="A10" s="15"/>
      <c r="B10" s="88" t="s">
        <v>18</v>
      </c>
      <c r="C10" s="89"/>
      <c r="D10" s="89"/>
      <c r="E10" s="89"/>
      <c r="F10" s="89"/>
      <c r="G10" s="89"/>
      <c r="H10" s="89"/>
      <c r="I10" s="81" t="s">
        <v>13</v>
      </c>
      <c r="J10" s="82"/>
      <c r="K10" s="83"/>
      <c r="L10" s="83"/>
      <c r="M10" s="83"/>
      <c r="N10" s="83"/>
      <c r="O10" s="84"/>
      <c r="P10" s="15"/>
      <c r="Q10" s="19">
        <f>+K17/5465396697</f>
        <v>0.0024560461537527804</v>
      </c>
    </row>
    <row r="11" spans="1:17" ht="12.75">
      <c r="A11" s="20"/>
      <c r="B11" s="21" t="s">
        <v>20</v>
      </c>
      <c r="C11" s="22" t="s">
        <v>23</v>
      </c>
      <c r="D11" s="22" t="s">
        <v>23</v>
      </c>
      <c r="E11" s="22" t="s">
        <v>26</v>
      </c>
      <c r="F11" s="91" t="s">
        <v>29</v>
      </c>
      <c r="G11" s="92"/>
      <c r="H11" s="23" t="s">
        <v>41</v>
      </c>
      <c r="I11" s="24" t="s">
        <v>35</v>
      </c>
      <c r="J11" s="25" t="s">
        <v>45</v>
      </c>
      <c r="K11" s="26" t="s">
        <v>37</v>
      </c>
      <c r="L11" s="22" t="s">
        <v>43</v>
      </c>
      <c r="M11" s="22" t="s">
        <v>26</v>
      </c>
      <c r="N11" s="22" t="s">
        <v>51</v>
      </c>
      <c r="O11" s="27" t="s">
        <v>57</v>
      </c>
      <c r="P11" s="28"/>
      <c r="Q11" s="29">
        <f>+Q10*F17</f>
        <v>12280230.768763902</v>
      </c>
    </row>
    <row r="12" spans="1:17" ht="12.75">
      <c r="A12" s="30"/>
      <c r="B12" s="21" t="s">
        <v>21</v>
      </c>
      <c r="C12" s="22" t="s">
        <v>24</v>
      </c>
      <c r="D12" s="22" t="s">
        <v>40</v>
      </c>
      <c r="E12" s="22" t="s">
        <v>27</v>
      </c>
      <c r="F12" s="93" t="s">
        <v>30</v>
      </c>
      <c r="G12" s="94"/>
      <c r="H12" s="23" t="s">
        <v>42</v>
      </c>
      <c r="I12" s="24"/>
      <c r="J12" s="22" t="s">
        <v>46</v>
      </c>
      <c r="K12" s="26" t="s">
        <v>38</v>
      </c>
      <c r="L12" s="22" t="s">
        <v>44</v>
      </c>
      <c r="M12" s="22" t="s">
        <v>48</v>
      </c>
      <c r="N12" s="22" t="s">
        <v>52</v>
      </c>
      <c r="O12" s="27" t="s">
        <v>55</v>
      </c>
      <c r="P12" s="28"/>
      <c r="Q12" s="29"/>
    </row>
    <row r="13" spans="1:17" ht="13.5" thickBot="1">
      <c r="A13" s="30"/>
      <c r="B13" s="21" t="s">
        <v>22</v>
      </c>
      <c r="C13" s="22" t="s">
        <v>25</v>
      </c>
      <c r="D13" s="22" t="s">
        <v>32</v>
      </c>
      <c r="E13" s="22" t="s">
        <v>28</v>
      </c>
      <c r="F13" s="79" t="s">
        <v>31</v>
      </c>
      <c r="G13" s="80"/>
      <c r="H13" s="23"/>
      <c r="I13" s="24"/>
      <c r="J13" s="22" t="s">
        <v>47</v>
      </c>
      <c r="K13" s="26" t="s">
        <v>39</v>
      </c>
      <c r="L13" s="22" t="s">
        <v>32</v>
      </c>
      <c r="M13" s="22" t="s">
        <v>49</v>
      </c>
      <c r="N13" s="22" t="s">
        <v>53</v>
      </c>
      <c r="O13" s="27" t="s">
        <v>56</v>
      </c>
      <c r="P13" s="28"/>
      <c r="Q13" s="29"/>
    </row>
    <row r="14" spans="1:17" ht="12.75">
      <c r="A14" s="30"/>
      <c r="B14" s="21"/>
      <c r="C14" s="22"/>
      <c r="D14" s="22" t="s">
        <v>33</v>
      </c>
      <c r="E14" s="22"/>
      <c r="F14" s="31"/>
      <c r="G14" s="31" t="s">
        <v>36</v>
      </c>
      <c r="H14" s="23"/>
      <c r="I14" s="24"/>
      <c r="J14" s="22"/>
      <c r="K14" s="26"/>
      <c r="L14" s="22" t="s">
        <v>33</v>
      </c>
      <c r="M14" s="22" t="s">
        <v>50</v>
      </c>
      <c r="N14" s="22" t="s">
        <v>54</v>
      </c>
      <c r="O14" s="27" t="s">
        <v>50</v>
      </c>
      <c r="P14" s="28"/>
      <c r="Q14" s="29"/>
    </row>
    <row r="15" spans="1:17" ht="13.5" thickBot="1">
      <c r="A15" s="32" t="s">
        <v>14</v>
      </c>
      <c r="B15" s="33"/>
      <c r="C15" s="34"/>
      <c r="D15" s="34"/>
      <c r="E15" s="34"/>
      <c r="F15" s="35" t="s">
        <v>34</v>
      </c>
      <c r="G15" s="35" t="s">
        <v>61</v>
      </c>
      <c r="H15" s="36"/>
      <c r="I15" s="37"/>
      <c r="J15" s="34"/>
      <c r="K15" s="38"/>
      <c r="L15" s="34"/>
      <c r="M15" s="34"/>
      <c r="N15" s="34"/>
      <c r="O15" s="39" t="s">
        <v>58</v>
      </c>
      <c r="P15" s="28"/>
      <c r="Q15" s="40"/>
    </row>
    <row r="16" spans="1:17" ht="12.75">
      <c r="A16" s="41"/>
      <c r="B16" s="42"/>
      <c r="C16" s="1"/>
      <c r="D16" s="1"/>
      <c r="E16" s="1"/>
      <c r="F16" s="1"/>
      <c r="G16" s="41"/>
      <c r="H16" s="43"/>
      <c r="I16" s="44"/>
      <c r="J16" s="1"/>
      <c r="K16" s="1"/>
      <c r="L16" s="1"/>
      <c r="M16" s="1"/>
      <c r="N16" s="1"/>
      <c r="O16" s="45"/>
      <c r="P16" s="15"/>
      <c r="Q16" s="16"/>
    </row>
    <row r="17" spans="1:17" ht="12.75">
      <c r="A17" s="46" t="s">
        <v>1</v>
      </c>
      <c r="B17" s="47">
        <v>3707328360</v>
      </c>
      <c r="C17" s="2">
        <v>1758068337</v>
      </c>
      <c r="D17" s="48">
        <v>0</v>
      </c>
      <c r="E17" s="2">
        <f>+B17+C17</f>
        <v>5465396697</v>
      </c>
      <c r="F17" s="2">
        <v>5000000000</v>
      </c>
      <c r="G17" s="49" t="str">
        <f>IF(F17&lt;=C17,F17/C17,"Mas del 100%")</f>
        <v>Mas del 100%</v>
      </c>
      <c r="H17" s="50">
        <f aca="true" t="shared" si="0" ref="H17:H28">+B17+C17-F17</f>
        <v>465396697</v>
      </c>
      <c r="I17" s="2">
        <v>21356789</v>
      </c>
      <c r="J17" s="51">
        <v>0.0036</v>
      </c>
      <c r="K17" s="2">
        <f>(+B17+I17)*J17</f>
        <v>13423266.5364</v>
      </c>
      <c r="L17" s="48">
        <v>0</v>
      </c>
      <c r="M17" s="2">
        <f>+I17+K17+L17</f>
        <v>34780055.5364</v>
      </c>
      <c r="N17" s="2">
        <f>IF(F17&lt;=C17,0,((F17-C17)/B17)*M17)</f>
        <v>30413967.238756698</v>
      </c>
      <c r="O17" s="52">
        <f>+M17-N17</f>
        <v>4366088.2976433</v>
      </c>
      <c r="P17" s="15"/>
      <c r="Q17" s="53">
        <f>+B17-F17</f>
        <v>-1292671640</v>
      </c>
    </row>
    <row r="18" spans="1:17" ht="12.75">
      <c r="A18" s="46" t="s">
        <v>2</v>
      </c>
      <c r="B18" s="47">
        <f aca="true" t="shared" si="1" ref="B18:B28">+H17</f>
        <v>465396697</v>
      </c>
      <c r="C18" s="2">
        <v>2864704707</v>
      </c>
      <c r="D18" s="48">
        <v>0</v>
      </c>
      <c r="E18" s="2">
        <f aca="true" t="shared" si="2" ref="E18:E28">+B18+C18</f>
        <v>3330101404</v>
      </c>
      <c r="F18" s="2">
        <v>400000000</v>
      </c>
      <c r="G18" s="49">
        <f aca="true" t="shared" si="3" ref="G18:G28">IF(F18&lt;=C18,F18/C18,"Mas del 100%")</f>
        <v>0.13963044743236078</v>
      </c>
      <c r="H18" s="50">
        <f t="shared" si="0"/>
        <v>2930101404</v>
      </c>
      <c r="I18" s="2">
        <f>+O17</f>
        <v>4366088.2976433</v>
      </c>
      <c r="J18" s="54">
        <v>0.0083</v>
      </c>
      <c r="K18" s="2">
        <f aca="true" t="shared" si="4" ref="K18:K28">(+B18+O17)*J18</f>
        <v>3899031.1179704396</v>
      </c>
      <c r="L18" s="48">
        <v>0</v>
      </c>
      <c r="M18" s="2">
        <f aca="true" t="shared" si="5" ref="M18:M28">+I18+K18+L18</f>
        <v>8265119.41561374</v>
      </c>
      <c r="N18" s="2">
        <f aca="true" t="shared" si="6" ref="N18:N28">IF(F18&lt;=C18,0,((F18-C18)/B18)*M18)</f>
        <v>0</v>
      </c>
      <c r="O18" s="52">
        <f aca="true" t="shared" si="7" ref="O18:O28">+M18-N18</f>
        <v>8265119.41561374</v>
      </c>
      <c r="P18" s="15"/>
      <c r="Q18" s="53">
        <f>+M17-N17</f>
        <v>4366088.2976433</v>
      </c>
    </row>
    <row r="19" spans="1:17" ht="12.75">
      <c r="A19" s="46" t="s">
        <v>3</v>
      </c>
      <c r="B19" s="47">
        <f t="shared" si="1"/>
        <v>2930101404</v>
      </c>
      <c r="C19" s="2">
        <v>3321372327</v>
      </c>
      <c r="D19" s="48">
        <v>0</v>
      </c>
      <c r="E19" s="2">
        <f t="shared" si="2"/>
        <v>6251473731</v>
      </c>
      <c r="F19" s="2">
        <v>2949792043</v>
      </c>
      <c r="G19" s="49">
        <f t="shared" si="3"/>
        <v>0.8881244716289828</v>
      </c>
      <c r="H19" s="50">
        <f t="shared" si="0"/>
        <v>3301681688</v>
      </c>
      <c r="I19" s="2">
        <f aca="true" t="shared" si="8" ref="I19:I28">+O18</f>
        <v>8265119.41561374</v>
      </c>
      <c r="J19" s="54">
        <v>0.0093</v>
      </c>
      <c r="K19" s="2">
        <f t="shared" si="4"/>
        <v>27326808.667765204</v>
      </c>
      <c r="L19" s="48">
        <v>0</v>
      </c>
      <c r="M19" s="2">
        <f t="shared" si="5"/>
        <v>35591928.08337894</v>
      </c>
      <c r="N19" s="2">
        <f t="shared" si="6"/>
        <v>0</v>
      </c>
      <c r="O19" s="52">
        <f t="shared" si="7"/>
        <v>35591928.08337894</v>
      </c>
      <c r="P19" s="15"/>
      <c r="Q19" s="53">
        <f>+C17</f>
        <v>1758068337</v>
      </c>
    </row>
    <row r="20" spans="1:17" ht="12.75">
      <c r="A20" s="46" t="s">
        <v>4</v>
      </c>
      <c r="B20" s="47">
        <f t="shared" si="1"/>
        <v>3301681688</v>
      </c>
      <c r="C20" s="2">
        <v>2650606600</v>
      </c>
      <c r="D20" s="48">
        <v>0</v>
      </c>
      <c r="E20" s="2">
        <f t="shared" si="2"/>
        <v>5952288288</v>
      </c>
      <c r="F20" s="2">
        <v>2808838302</v>
      </c>
      <c r="G20" s="49" t="str">
        <f t="shared" si="3"/>
        <v>Mas del 100%</v>
      </c>
      <c r="H20" s="50">
        <f t="shared" si="0"/>
        <v>3143449986</v>
      </c>
      <c r="I20" s="2">
        <f t="shared" si="8"/>
        <v>35591928.08337894</v>
      </c>
      <c r="J20" s="54">
        <v>0.0074</v>
      </c>
      <c r="K20" s="2">
        <f t="shared" si="4"/>
        <v>24695824.759017006</v>
      </c>
      <c r="L20" s="48">
        <v>0</v>
      </c>
      <c r="M20" s="2">
        <f t="shared" si="5"/>
        <v>60287752.84239595</v>
      </c>
      <c r="N20" s="2">
        <f t="shared" si="6"/>
        <v>2889265.1210680995</v>
      </c>
      <c r="O20" s="52">
        <f t="shared" si="7"/>
        <v>57398487.72132785</v>
      </c>
      <c r="P20" s="15"/>
      <c r="Q20" s="53">
        <f>+H17+O17</f>
        <v>469762785.2976433</v>
      </c>
    </row>
    <row r="21" spans="1:17" ht="12.75">
      <c r="A21" s="46" t="s">
        <v>5</v>
      </c>
      <c r="B21" s="47">
        <f t="shared" si="1"/>
        <v>3143449986</v>
      </c>
      <c r="C21" s="2">
        <v>3116695803</v>
      </c>
      <c r="D21" s="48">
        <v>0</v>
      </c>
      <c r="E21" s="2">
        <f t="shared" si="2"/>
        <v>6260145789</v>
      </c>
      <c r="F21" s="2">
        <v>2841995418</v>
      </c>
      <c r="G21" s="49">
        <f t="shared" si="3"/>
        <v>0.9118616630036255</v>
      </c>
      <c r="H21" s="50">
        <f t="shared" si="0"/>
        <v>3418150371</v>
      </c>
      <c r="I21" s="2">
        <f t="shared" si="8"/>
        <v>57398487.72132785</v>
      </c>
      <c r="J21" s="54">
        <v>0.0047</v>
      </c>
      <c r="K21" s="2">
        <f t="shared" si="4"/>
        <v>15043987.826490242</v>
      </c>
      <c r="L21" s="48">
        <v>0</v>
      </c>
      <c r="M21" s="2">
        <f t="shared" si="5"/>
        <v>72442475.5478181</v>
      </c>
      <c r="N21" s="2">
        <f t="shared" si="6"/>
        <v>0</v>
      </c>
      <c r="O21" s="52">
        <f t="shared" si="7"/>
        <v>72442475.5478181</v>
      </c>
      <c r="P21" s="15"/>
      <c r="Q21" s="53">
        <f>+Q17+Q18+Q19-Q20</f>
        <v>0</v>
      </c>
    </row>
    <row r="22" spans="1:17" ht="12.75">
      <c r="A22" s="46" t="s">
        <v>6</v>
      </c>
      <c r="B22" s="47">
        <f t="shared" si="1"/>
        <v>3418150371</v>
      </c>
      <c r="C22" s="2">
        <v>2673588590</v>
      </c>
      <c r="D22" s="48">
        <v>0</v>
      </c>
      <c r="E22" s="2">
        <f t="shared" si="2"/>
        <v>6091738961</v>
      </c>
      <c r="F22" s="2">
        <v>3008020105</v>
      </c>
      <c r="G22" s="49" t="str">
        <f t="shared" si="3"/>
        <v>Mas del 100%</v>
      </c>
      <c r="H22" s="50">
        <f t="shared" si="0"/>
        <v>3083718856</v>
      </c>
      <c r="I22" s="2">
        <f t="shared" si="8"/>
        <v>72442475.5478181</v>
      </c>
      <c r="J22" s="54">
        <v>0.0042</v>
      </c>
      <c r="K22" s="2">
        <f t="shared" si="4"/>
        <v>14660489.955500836</v>
      </c>
      <c r="L22" s="48">
        <v>0</v>
      </c>
      <c r="M22" s="2">
        <f t="shared" si="5"/>
        <v>87102965.50331894</v>
      </c>
      <c r="N22" s="2">
        <f t="shared" si="6"/>
        <v>8522146.059286894</v>
      </c>
      <c r="O22" s="52">
        <f t="shared" si="7"/>
        <v>78580819.44403204</v>
      </c>
      <c r="P22" s="15"/>
      <c r="Q22" s="16"/>
    </row>
    <row r="23" spans="1:17" ht="12.75">
      <c r="A23" s="46" t="s">
        <v>7</v>
      </c>
      <c r="B23" s="47">
        <f t="shared" si="1"/>
        <v>3083718856</v>
      </c>
      <c r="C23" s="2">
        <v>3482053908</v>
      </c>
      <c r="D23" s="48">
        <v>0</v>
      </c>
      <c r="E23" s="2">
        <f t="shared" si="2"/>
        <v>6565772764</v>
      </c>
      <c r="F23" s="2">
        <v>3062069662</v>
      </c>
      <c r="G23" s="49">
        <f t="shared" si="3"/>
        <v>0.879386058603203</v>
      </c>
      <c r="H23" s="50">
        <f t="shared" si="0"/>
        <v>3503703102</v>
      </c>
      <c r="I23" s="2">
        <f t="shared" si="8"/>
        <v>78580819.44403204</v>
      </c>
      <c r="J23" s="54">
        <v>0.0042</v>
      </c>
      <c r="K23" s="2">
        <f t="shared" si="4"/>
        <v>13281658.636864934</v>
      </c>
      <c r="L23" s="48">
        <v>0</v>
      </c>
      <c r="M23" s="2">
        <f t="shared" si="5"/>
        <v>91862478.08089697</v>
      </c>
      <c r="N23" s="2">
        <f t="shared" si="6"/>
        <v>0</v>
      </c>
      <c r="O23" s="52">
        <f t="shared" si="7"/>
        <v>91862478.08089697</v>
      </c>
      <c r="P23" s="15"/>
      <c r="Q23" s="16"/>
    </row>
    <row r="24" spans="1:17" ht="12.75">
      <c r="A24" s="46" t="s">
        <v>8</v>
      </c>
      <c r="B24" s="47">
        <f t="shared" si="1"/>
        <v>3503703102</v>
      </c>
      <c r="C24" s="2">
        <v>3334161426</v>
      </c>
      <c r="D24" s="48">
        <v>0</v>
      </c>
      <c r="E24" s="2">
        <f t="shared" si="2"/>
        <v>6837864528</v>
      </c>
      <c r="F24" s="2">
        <v>3115080248</v>
      </c>
      <c r="G24" s="49">
        <f t="shared" si="3"/>
        <v>0.9342919703012604</v>
      </c>
      <c r="H24" s="50">
        <f t="shared" si="0"/>
        <v>3722784280</v>
      </c>
      <c r="I24" s="2">
        <f t="shared" si="8"/>
        <v>91862478.08089697</v>
      </c>
      <c r="J24" s="54">
        <v>0.0004</v>
      </c>
      <c r="K24" s="2">
        <f t="shared" si="4"/>
        <v>1438226.2320323589</v>
      </c>
      <c r="L24" s="48">
        <v>0</v>
      </c>
      <c r="M24" s="2">
        <f t="shared" si="5"/>
        <v>93300704.31292933</v>
      </c>
      <c r="N24" s="2">
        <f t="shared" si="6"/>
        <v>0</v>
      </c>
      <c r="O24" s="52">
        <f t="shared" si="7"/>
        <v>93300704.31292933</v>
      </c>
      <c r="P24" s="15"/>
      <c r="Q24" s="16"/>
    </row>
    <row r="25" spans="1:17" ht="12.75">
      <c r="A25" s="46" t="s">
        <v>9</v>
      </c>
      <c r="B25" s="47">
        <f t="shared" si="1"/>
        <v>3722784280</v>
      </c>
      <c r="C25" s="2">
        <v>3334161426</v>
      </c>
      <c r="D25" s="48">
        <v>0</v>
      </c>
      <c r="E25" s="2">
        <f t="shared" si="2"/>
        <v>7056945706</v>
      </c>
      <c r="F25" s="2">
        <v>3345698445</v>
      </c>
      <c r="G25" s="49" t="str">
        <f t="shared" si="3"/>
        <v>Mas del 100%</v>
      </c>
      <c r="H25" s="50">
        <f t="shared" si="0"/>
        <v>3711247261</v>
      </c>
      <c r="I25" s="2">
        <f t="shared" si="8"/>
        <v>93300704.31292933</v>
      </c>
      <c r="J25" s="54">
        <v>0.0002</v>
      </c>
      <c r="K25" s="2">
        <f t="shared" si="4"/>
        <v>763216.9968625859</v>
      </c>
      <c r="L25" s="48">
        <v>0</v>
      </c>
      <c r="M25" s="2">
        <f t="shared" si="5"/>
        <v>94063921.30979192</v>
      </c>
      <c r="N25" s="2">
        <f t="shared" si="6"/>
        <v>291506.8845637154</v>
      </c>
      <c r="O25" s="52">
        <f t="shared" si="7"/>
        <v>93772414.42522821</v>
      </c>
      <c r="P25" s="15"/>
      <c r="Q25" s="16"/>
    </row>
    <row r="26" spans="1:17" ht="12.75">
      <c r="A26" s="46" t="s">
        <v>10</v>
      </c>
      <c r="B26" s="47">
        <f>+H25</f>
        <v>3711247261</v>
      </c>
      <c r="C26" s="2">
        <v>3334161426</v>
      </c>
      <c r="D26" s="48">
        <v>0</v>
      </c>
      <c r="E26" s="2">
        <f t="shared" si="2"/>
        <v>7045408687</v>
      </c>
      <c r="F26" s="2">
        <v>2345789000</v>
      </c>
      <c r="G26" s="49">
        <f t="shared" si="3"/>
        <v>0.7035619156611285</v>
      </c>
      <c r="H26" s="50">
        <f t="shared" si="0"/>
        <v>4699619687</v>
      </c>
      <c r="I26" s="2">
        <f t="shared" si="8"/>
        <v>93772414.42522821</v>
      </c>
      <c r="J26" s="54">
        <v>0.0005</v>
      </c>
      <c r="K26" s="2">
        <f t="shared" si="4"/>
        <v>1902509.837712614</v>
      </c>
      <c r="L26" s="48">
        <v>0</v>
      </c>
      <c r="M26" s="2">
        <f t="shared" si="5"/>
        <v>95674924.26294082</v>
      </c>
      <c r="N26" s="2">
        <f t="shared" si="6"/>
        <v>0</v>
      </c>
      <c r="O26" s="52">
        <f t="shared" si="7"/>
        <v>95674924.26294082</v>
      </c>
      <c r="P26" s="15"/>
      <c r="Q26" s="16"/>
    </row>
    <row r="27" spans="1:17" ht="12.75">
      <c r="A27" s="46" t="s">
        <v>11</v>
      </c>
      <c r="B27" s="47">
        <f t="shared" si="1"/>
        <v>4699619687</v>
      </c>
      <c r="C27" s="2">
        <v>3334161426</v>
      </c>
      <c r="D27" s="48">
        <v>0</v>
      </c>
      <c r="E27" s="2">
        <f t="shared" si="2"/>
        <v>8033781113</v>
      </c>
      <c r="F27" s="2">
        <v>1567899900</v>
      </c>
      <c r="G27" s="49">
        <f t="shared" si="3"/>
        <v>0.47025314604548485</v>
      </c>
      <c r="H27" s="50">
        <f t="shared" si="0"/>
        <v>6465881213</v>
      </c>
      <c r="I27" s="2">
        <f t="shared" si="8"/>
        <v>95674924.26294082</v>
      </c>
      <c r="J27" s="54">
        <v>0.002</v>
      </c>
      <c r="K27" s="2">
        <f t="shared" si="4"/>
        <v>9590589.222525882</v>
      </c>
      <c r="L27" s="48">
        <v>0</v>
      </c>
      <c r="M27" s="2">
        <f t="shared" si="5"/>
        <v>105265513.4854667</v>
      </c>
      <c r="N27" s="2">
        <f t="shared" si="6"/>
        <v>0</v>
      </c>
      <c r="O27" s="52">
        <f t="shared" si="7"/>
        <v>105265513.4854667</v>
      </c>
      <c r="P27" s="15"/>
      <c r="Q27" s="16"/>
    </row>
    <row r="28" spans="1:17" ht="13.5" thickBot="1">
      <c r="A28" s="46" t="s">
        <v>12</v>
      </c>
      <c r="B28" s="55">
        <f t="shared" si="1"/>
        <v>6465881213</v>
      </c>
      <c r="C28" s="3">
        <v>3334161426</v>
      </c>
      <c r="D28" s="56">
        <v>0</v>
      </c>
      <c r="E28" s="3">
        <f t="shared" si="2"/>
        <v>9800042639</v>
      </c>
      <c r="F28" s="4">
        <v>2675497866</v>
      </c>
      <c r="G28" s="57">
        <f t="shared" si="3"/>
        <v>0.8024500089096765</v>
      </c>
      <c r="H28" s="58">
        <f t="shared" si="0"/>
        <v>7124544773</v>
      </c>
      <c r="I28" s="59">
        <f t="shared" si="8"/>
        <v>105265513.4854667</v>
      </c>
      <c r="J28" s="60">
        <v>0.0025</v>
      </c>
      <c r="K28" s="4">
        <f t="shared" si="4"/>
        <v>16427866.816213667</v>
      </c>
      <c r="L28" s="61">
        <v>0</v>
      </c>
      <c r="M28" s="4">
        <f t="shared" si="5"/>
        <v>121693380.30168037</v>
      </c>
      <c r="N28" s="4">
        <f t="shared" si="6"/>
        <v>0</v>
      </c>
      <c r="O28" s="62">
        <f t="shared" si="7"/>
        <v>121693380.30168037</v>
      </c>
      <c r="P28" s="15"/>
      <c r="Q28" s="16"/>
    </row>
    <row r="29" spans="1:17" ht="13.5" thickBot="1">
      <c r="A29" s="15"/>
      <c r="B29" s="15"/>
      <c r="C29" s="18"/>
      <c r="D29" s="18"/>
      <c r="E29" s="18"/>
      <c r="F29" s="63">
        <f>SUM(F17:F28)</f>
        <v>33120680989</v>
      </c>
      <c r="G29" s="64"/>
      <c r="H29" s="64"/>
      <c r="I29" s="64"/>
      <c r="J29" s="65"/>
      <c r="K29" s="65">
        <f>SUM(K17:K28)</f>
        <v>142453476.60535577</v>
      </c>
      <c r="L29" s="64"/>
      <c r="M29" s="64"/>
      <c r="N29" s="65">
        <f>SUM(N17:N28)</f>
        <v>42116885.303675406</v>
      </c>
      <c r="O29" s="66"/>
      <c r="P29" s="15"/>
      <c r="Q29" s="16"/>
    </row>
    <row r="30" spans="1:17" ht="12.75">
      <c r="A30" s="78" t="s">
        <v>92</v>
      </c>
      <c r="B30" s="78"/>
      <c r="C30" s="78"/>
      <c r="D30" s="15"/>
      <c r="E30" s="15"/>
      <c r="F30" s="15"/>
      <c r="G30" s="15"/>
      <c r="H30" s="15"/>
      <c r="I30" s="15"/>
      <c r="J30" s="15"/>
      <c r="K30" s="15"/>
      <c r="L30" s="15"/>
      <c r="M30" s="15"/>
      <c r="N30" s="15"/>
      <c r="O30" s="15"/>
      <c r="P30" s="15"/>
      <c r="Q30" s="16"/>
    </row>
    <row r="31" spans="1:17" ht="12.75">
      <c r="A31" s="15"/>
      <c r="B31" s="15"/>
      <c r="C31" s="15"/>
      <c r="D31" s="15"/>
      <c r="E31" s="15"/>
      <c r="F31" s="15"/>
      <c r="G31" s="15"/>
      <c r="H31" s="15"/>
      <c r="I31" s="15"/>
      <c r="J31" s="15"/>
      <c r="K31" s="15"/>
      <c r="L31" s="15"/>
      <c r="M31" s="15"/>
      <c r="N31" s="15"/>
      <c r="O31" s="15"/>
      <c r="P31" s="15"/>
      <c r="Q31" s="16"/>
    </row>
    <row r="32" ht="12.75">
      <c r="A32" s="67" t="s">
        <v>15</v>
      </c>
    </row>
    <row r="33" ht="12.75">
      <c r="A33" s="68" t="s">
        <v>16</v>
      </c>
    </row>
    <row r="34" ht="12.75">
      <c r="A34" s="67"/>
    </row>
    <row r="36" ht="12.75"/>
  </sheetData>
  <mergeCells count="10">
    <mergeCell ref="A30:C30"/>
    <mergeCell ref="A4:O4"/>
    <mergeCell ref="A5:O5"/>
    <mergeCell ref="A6:O6"/>
    <mergeCell ref="A8:O8"/>
    <mergeCell ref="F13:G13"/>
    <mergeCell ref="B10:H10"/>
    <mergeCell ref="I10:O10"/>
    <mergeCell ref="F11:G11"/>
    <mergeCell ref="F12:G12"/>
  </mergeCells>
  <hyperlinks>
    <hyperlink ref="A33" r:id="rId1" display="www.actualicese.com"/>
    <hyperlink ref="A30" location="'resumen comparativo'!A1" display="Volver al resumen comparativo"/>
  </hyperlinks>
  <printOptions horizontalCentered="1" verticalCentered="1"/>
  <pageMargins left="0.42" right="0.46" top="0.984251968503937" bottom="0.984251968503937" header="0" footer="0"/>
  <pageSetup fitToHeight="1" fitToWidth="1" orientation="landscape" scale="59" r:id="rId5"/>
  <headerFooter alignWithMargins="0">
    <oddHeader>&amp;Lhttp://www.actualicese.com/herramientas</oddHeader>
    <oddFooter>&amp;Ractualicese.com
El Portal de los Contadores Públicos</oddFooter>
  </headerFooter>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6:F26"/>
  <sheetViews>
    <sheetView showGridLines="0" workbookViewId="0" topLeftCell="A1">
      <selection activeCell="B26" sqref="B26"/>
    </sheetView>
  </sheetViews>
  <sheetFormatPr defaultColWidth="11.00390625" defaultRowHeight="12.75"/>
  <cols>
    <col min="1" max="1" width="66.75390625" style="5" customWidth="1"/>
    <col min="2" max="2" width="16.375" style="5" customWidth="1"/>
    <col min="3" max="3" width="15.625" style="5" customWidth="1"/>
    <col min="4" max="4" width="18.00390625" style="5" customWidth="1"/>
    <col min="5" max="16384" width="11.00390625" style="5" customWidth="1"/>
  </cols>
  <sheetData>
    <row r="1" ht="12.75"/>
    <row r="2" ht="12.75"/>
    <row r="3" ht="12.75"/>
    <row r="4" ht="12.75"/>
    <row r="5" ht="12.75"/>
    <row r="6" spans="1:6" ht="24.75" customHeight="1">
      <c r="A6" s="6" t="s">
        <v>67</v>
      </c>
      <c r="B6" s="6"/>
      <c r="C6" s="6"/>
      <c r="D6" s="6"/>
      <c r="E6" s="6"/>
      <c r="F6" s="6"/>
    </row>
    <row r="8" spans="1:4" ht="12" customHeight="1">
      <c r="A8" s="95" t="s">
        <v>68</v>
      </c>
      <c r="B8" s="9" t="s">
        <v>64</v>
      </c>
      <c r="C8" s="9" t="s">
        <v>64</v>
      </c>
      <c r="D8" s="9" t="s">
        <v>64</v>
      </c>
    </row>
    <row r="9" spans="1:4" ht="12.75">
      <c r="A9" s="95"/>
      <c r="B9" s="9" t="s">
        <v>63</v>
      </c>
      <c r="C9" s="9" t="s">
        <v>66</v>
      </c>
      <c r="D9" s="9" t="s">
        <v>69</v>
      </c>
    </row>
    <row r="10" spans="1:4" ht="12.75">
      <c r="A10" s="95"/>
      <c r="B10" s="9" t="s">
        <v>65</v>
      </c>
      <c r="C10" s="9"/>
      <c r="D10" s="9"/>
    </row>
    <row r="12" spans="1:4" ht="12.75">
      <c r="A12" s="5" t="s">
        <v>70</v>
      </c>
      <c r="B12" s="7">
        <f>+'con metodo PROMEDIO'!K30</f>
        <v>141140443.66228083</v>
      </c>
      <c r="C12" s="7">
        <f>+'con metodo PEPS'!K30</f>
        <v>140672271.49569213</v>
      </c>
      <c r="D12" s="7">
        <f>+'con metodo UEPS'!K29</f>
        <v>142453476.60535577</v>
      </c>
    </row>
    <row r="13" ht="12.75">
      <c r="A13" s="5" t="s">
        <v>73</v>
      </c>
    </row>
    <row r="15" ht="12.75">
      <c r="A15" s="5" t="s">
        <v>71</v>
      </c>
    </row>
    <row r="16" ht="12.75">
      <c r="A16" s="5" t="s">
        <v>72</v>
      </c>
    </row>
    <row r="17" ht="12.75">
      <c r="A17" s="5" t="s">
        <v>74</v>
      </c>
    </row>
    <row r="18" spans="1:4" ht="13.5" thickBot="1">
      <c r="A18" s="5" t="s">
        <v>75</v>
      </c>
      <c r="B18" s="8">
        <f>+'con metodo PROMEDIO'!N30</f>
        <v>142358568.07513425</v>
      </c>
      <c r="C18" s="8">
        <f>+'con metodo PEPS'!N30</f>
        <v>148590973.0109577</v>
      </c>
      <c r="D18" s="8">
        <f>+'con metodo UEPS'!N29</f>
        <v>42116885.303675406</v>
      </c>
    </row>
    <row r="19" spans="1:4" ht="12.75">
      <c r="A19" s="11" t="s">
        <v>78</v>
      </c>
      <c r="B19" s="7">
        <f>+B12-B18</f>
        <v>-1218124.4128534198</v>
      </c>
      <c r="C19" s="7">
        <f>+C12-C18</f>
        <v>-7918701.515265554</v>
      </c>
      <c r="D19" s="7">
        <f>+D12-D18</f>
        <v>100336591.30168036</v>
      </c>
    </row>
    <row r="20" ht="12.75">
      <c r="A20" s="10" t="s">
        <v>88</v>
      </c>
    </row>
    <row r="21" ht="12.75">
      <c r="A21" s="10" t="s">
        <v>79</v>
      </c>
    </row>
    <row r="23" spans="1:4" ht="12.75">
      <c r="A23" s="5" t="s">
        <v>76</v>
      </c>
      <c r="B23" s="7">
        <f>+'con metodo PROMEDIO'!H29++'con metodo PROMEDIO'!O29</f>
        <v>7144683437.587147</v>
      </c>
      <c r="C23" s="7">
        <f>+'con metodo PEPS'!H29+'con metodo PEPS'!O29</f>
        <v>7137982860.484735</v>
      </c>
      <c r="D23" s="7">
        <f>+'con metodo UEPS'!H28+'con metodo UEPS'!O28</f>
        <v>7246238153.301681</v>
      </c>
    </row>
    <row r="24" ht="12.75">
      <c r="A24" s="5" t="s">
        <v>77</v>
      </c>
    </row>
    <row r="25" ht="12.75">
      <c r="A25" s="5" t="s">
        <v>80</v>
      </c>
    </row>
    <row r="26" spans="2:4" ht="51">
      <c r="B26" s="73" t="s">
        <v>91</v>
      </c>
      <c r="C26" s="73" t="s">
        <v>89</v>
      </c>
      <c r="D26" s="73" t="s">
        <v>90</v>
      </c>
    </row>
  </sheetData>
  <mergeCells count="1">
    <mergeCell ref="A8:A10"/>
  </mergeCells>
  <hyperlinks>
    <hyperlink ref="C26" location="'con metodo PEPS'!A1" display="Haz click aquí para ver el ejemplo con PEPS"/>
    <hyperlink ref="D26" location="'con metodo UEPS'!A1" display="Haz click aquí para ver un ejemplo con UEPS"/>
    <hyperlink ref="B26" location="'con metodo PROMEDIO'!A1" display="Haz click aquí para ver un ejemplo con el método Promedio"/>
  </hyperlinks>
  <printOptions horizontalCentered="1" verticalCentered="1"/>
  <pageMargins left="0.7874015748031497" right="0.7874015748031497" top="0.984251968503937" bottom="0.984251968503937" header="0" footer="0"/>
  <pageSetup fitToHeight="1" fitToWidth="1" orientation="landscape" scale="96" r:id="rId2"/>
  <headerFooter alignWithMargins="0">
    <oddHeader>&amp;Lhttp://www.actualicese.com/herramientas</oddHeader>
    <oddFooter>&amp;Ractualicese.com
El Portal del Contador Público</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actualicese.com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Ajustes por Inflación</dc:title>
  <dc:subject>Forma de calcular y prorratear los ajustes por inflacion a los inventarios usando distintos metodos de valuacion de inventarios</dc:subject>
  <dc:creator>actualicese.com</dc:creator>
  <cp:keywords/>
  <dc:description/>
  <cp:lastModifiedBy>Juan Fernando Zuluaga C.</cp:lastModifiedBy>
  <cp:lastPrinted>2005-09-06T12:14:29Z</cp:lastPrinted>
  <dcterms:created xsi:type="dcterms:W3CDTF">1997-04-07T19:44:49Z</dcterms:created>
  <dcterms:modified xsi:type="dcterms:W3CDTF">2005-09-06T16:08:28Z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